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updateLinks="always"/>
  <mc:AlternateContent xmlns:mc="http://schemas.openxmlformats.org/markup-compatibility/2006">
    <mc:Choice Requires="x15">
      <x15ac:absPath xmlns:x15ac="http://schemas.microsoft.com/office/spreadsheetml/2010/11/ac" url="https://gordonedu.sharepoint.com/sites/GordonCollegeStudentGovernment/Finance/"/>
    </mc:Choice>
  </mc:AlternateContent>
  <xr:revisionPtr revIDLastSave="1887" documentId="11_D4574E835A3AB802DEF5808949C224D2F46C4A8D" xr6:coauthVersionLast="47" xr6:coauthVersionMax="47" xr10:uidLastSave="{F42D8B9C-CCBA-47EF-919E-1F590B6EF457}"/>
  <bookViews>
    <workbookView xWindow="-103" yWindow="-103" windowWidth="23657" windowHeight="15120" xr2:uid="{00000000-000D-0000-FFFF-FFFF00000000}"/>
  </bookViews>
  <sheets>
    <sheet name="BUDGET" sheetId="11" r:id="rId1"/>
    <sheet name="Stipends" sheetId="3" r:id="rId2"/>
    <sheet name="Reclaim Workspace 2" sheetId="12" state="hidden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  <c r="F38" i="11"/>
  <c r="C7" i="11"/>
  <c r="D7" i="11"/>
  <c r="E7" i="11"/>
  <c r="F7" i="11"/>
  <c r="F5" i="11"/>
  <c r="F31" i="11"/>
  <c r="F32" i="11"/>
  <c r="F33" i="11"/>
  <c r="F34" i="11"/>
  <c r="F37" i="11"/>
  <c r="F41" i="11"/>
  <c r="F42" i="11"/>
  <c r="F44" i="11"/>
  <c r="F45" i="11"/>
  <c r="F46" i="11"/>
  <c r="F30" i="11"/>
  <c r="F19" i="11"/>
  <c r="F20" i="11"/>
  <c r="F21" i="11"/>
  <c r="F22" i="11"/>
  <c r="F23" i="11"/>
  <c r="F24" i="11"/>
  <c r="F25" i="11"/>
  <c r="F26" i="11"/>
  <c r="F27" i="11"/>
  <c r="F28" i="11"/>
  <c r="F18" i="11"/>
  <c r="F10" i="11"/>
  <c r="F11" i="11"/>
  <c r="F12" i="11"/>
  <c r="F13" i="11"/>
  <c r="F14" i="11"/>
  <c r="F15" i="11"/>
  <c r="F16" i="11"/>
  <c r="F17" i="11"/>
  <c r="F9" i="11"/>
  <c r="F8" i="11"/>
  <c r="F50" i="12"/>
  <c r="F49" i="12"/>
  <c r="E49" i="12"/>
  <c r="AE47" i="12"/>
  <c r="AG46" i="12"/>
  <c r="AG45" i="12"/>
  <c r="AG44" i="12"/>
  <c r="AG43" i="12"/>
  <c r="D43" i="12"/>
  <c r="C43" i="12"/>
  <c r="B43" i="12"/>
  <c r="AG42" i="12"/>
  <c r="M42" i="12"/>
  <c r="I42" i="12"/>
  <c r="B42" i="12"/>
  <c r="AG41" i="12"/>
  <c r="D41" i="12"/>
  <c r="C41" i="12"/>
  <c r="B41" i="12"/>
  <c r="AG40" i="12"/>
  <c r="D40" i="12"/>
  <c r="C40" i="12"/>
  <c r="B40" i="12"/>
  <c r="AG39" i="12"/>
  <c r="D39" i="12"/>
  <c r="C39" i="12"/>
  <c r="B39" i="12"/>
  <c r="AG38" i="12"/>
  <c r="D38" i="12"/>
  <c r="C38" i="12"/>
  <c r="B38" i="12"/>
  <c r="AG37" i="12"/>
  <c r="D37" i="12"/>
  <c r="C37" i="12"/>
  <c r="B37" i="12"/>
  <c r="AF36" i="12"/>
  <c r="AG36" i="12" s="1"/>
  <c r="D36" i="12"/>
  <c r="C36" i="12"/>
  <c r="B36" i="12"/>
  <c r="AG35" i="12"/>
  <c r="D35" i="12"/>
  <c r="C35" i="12"/>
  <c r="B35" i="12"/>
  <c r="I34" i="12"/>
  <c r="AG33" i="12"/>
  <c r="D33" i="12"/>
  <c r="C33" i="12"/>
  <c r="B33" i="12"/>
  <c r="AG32" i="12"/>
  <c r="D32" i="12"/>
  <c r="C32" i="12"/>
  <c r="B32" i="12"/>
  <c r="AG31" i="12"/>
  <c r="D31" i="12"/>
  <c r="C31" i="12"/>
  <c r="B31" i="12"/>
  <c r="AG30" i="12"/>
  <c r="D30" i="12"/>
  <c r="C30" i="12"/>
  <c r="B30" i="12"/>
  <c r="AG29" i="12"/>
  <c r="D29" i="12"/>
  <c r="C29" i="12"/>
  <c r="B29" i="12"/>
  <c r="AG28" i="12"/>
  <c r="D28" i="12"/>
  <c r="C28" i="12"/>
  <c r="B28" i="12"/>
  <c r="AG27" i="12"/>
  <c r="D27" i="12"/>
  <c r="C27" i="12"/>
  <c r="B27" i="12"/>
  <c r="AG26" i="12"/>
  <c r="D26" i="12"/>
  <c r="C26" i="12"/>
  <c r="B26" i="12"/>
  <c r="AG25" i="12"/>
  <c r="D25" i="12"/>
  <c r="C25" i="12"/>
  <c r="B25" i="12"/>
  <c r="AG24" i="12"/>
  <c r="D24" i="12"/>
  <c r="C24" i="12"/>
  <c r="AG23" i="12"/>
  <c r="D23" i="12"/>
  <c r="C23" i="12"/>
  <c r="AG22" i="12"/>
  <c r="D22" i="12"/>
  <c r="C22" i="12"/>
  <c r="AG21" i="12"/>
  <c r="D21" i="12"/>
  <c r="C21" i="12"/>
  <c r="AG20" i="12"/>
  <c r="D20" i="12"/>
  <c r="C20" i="12"/>
  <c r="AG19" i="12"/>
  <c r="D19" i="12"/>
  <c r="C19" i="12"/>
  <c r="AG18" i="12"/>
  <c r="D18" i="12"/>
  <c r="C18" i="12"/>
  <c r="AG17" i="12"/>
  <c r="D17" i="12"/>
  <c r="C17" i="12"/>
  <c r="AG16" i="12"/>
  <c r="D16" i="12"/>
  <c r="C16" i="12"/>
  <c r="AG15" i="12"/>
  <c r="D15" i="12"/>
  <c r="C15" i="12"/>
  <c r="AG14" i="12"/>
  <c r="D14" i="12"/>
  <c r="C14" i="12"/>
  <c r="AG13" i="12"/>
  <c r="D13" i="12"/>
  <c r="C13" i="12"/>
  <c r="AG12" i="12"/>
  <c r="D12" i="12"/>
  <c r="C12" i="12"/>
  <c r="AG11" i="12"/>
  <c r="D11" i="12"/>
  <c r="C11" i="12"/>
  <c r="AG10" i="12"/>
  <c r="C10" i="12"/>
  <c r="AG9" i="12"/>
  <c r="C9" i="12"/>
  <c r="AG8" i="12"/>
  <c r="D8" i="12"/>
  <c r="C8" i="12"/>
  <c r="AF7" i="12"/>
  <c r="AG7" i="12" s="1"/>
  <c r="D7" i="12"/>
  <c r="C7" i="12"/>
  <c r="AF6" i="12"/>
  <c r="D6" i="12"/>
  <c r="C6" i="12"/>
  <c r="D5" i="12"/>
  <c r="C5" i="12"/>
  <c r="D4" i="12"/>
  <c r="D4" i="11"/>
  <c r="E4" i="11" s="1"/>
  <c r="D6" i="11"/>
  <c r="E6" i="11" s="1"/>
  <c r="E24" i="11"/>
  <c r="E17" i="11"/>
  <c r="E9" i="11"/>
  <c r="E10" i="11"/>
  <c r="E12" i="11"/>
  <c r="E13" i="11"/>
  <c r="E14" i="11"/>
  <c r="E15" i="11"/>
  <c r="E8" i="11"/>
  <c r="E5" i="11"/>
  <c r="E16" i="11"/>
  <c r="E46" i="11"/>
  <c r="E42" i="11"/>
  <c r="E43" i="11"/>
  <c r="E44" i="11"/>
  <c r="E45" i="11"/>
  <c r="E40" i="11"/>
  <c r="E41" i="11"/>
  <c r="E34" i="11"/>
  <c r="E35" i="11"/>
  <c r="E38" i="11"/>
  <c r="E39" i="11"/>
  <c r="E33" i="11"/>
  <c r="E31" i="11"/>
  <c r="E32" i="11"/>
  <c r="E27" i="11"/>
  <c r="E28" i="11"/>
  <c r="E30" i="11"/>
  <c r="E26" i="11"/>
  <c r="E22" i="11"/>
  <c r="E23" i="11"/>
  <c r="E25" i="11"/>
  <c r="E20" i="11"/>
  <c r="E21" i="11"/>
  <c r="E19" i="11"/>
  <c r="E18" i="11"/>
  <c r="C47" i="11"/>
  <c r="B47" i="11"/>
  <c r="D36" i="11"/>
  <c r="E36" i="11"/>
  <c r="E47" i="11"/>
  <c r="B19" i="3"/>
  <c r="D47" i="11"/>
  <c r="D44" i="12" l="1"/>
  <c r="I5" i="12"/>
  <c r="E5" i="12"/>
  <c r="F5" i="12"/>
  <c r="I6" i="12"/>
  <c r="E6" i="12"/>
  <c r="F6" i="12"/>
  <c r="AF47" i="12"/>
  <c r="AG6" i="12"/>
  <c r="I7" i="12"/>
  <c r="E7" i="12"/>
  <c r="F7" i="12"/>
  <c r="I8" i="12"/>
  <c r="E8" i="12"/>
  <c r="F8" i="12"/>
  <c r="I9" i="12"/>
  <c r="F9" i="12"/>
  <c r="E9" i="12"/>
  <c r="I10" i="12"/>
  <c r="F10" i="12"/>
  <c r="E10" i="12"/>
  <c r="I11" i="12"/>
  <c r="E11" i="12"/>
  <c r="F11" i="12"/>
  <c r="I12" i="12"/>
  <c r="E12" i="12"/>
  <c r="F12" i="12"/>
  <c r="I13" i="12"/>
  <c r="E13" i="12"/>
  <c r="F13" i="12"/>
  <c r="I14" i="12"/>
  <c r="E14" i="12"/>
  <c r="F14" i="12"/>
  <c r="I15" i="12"/>
  <c r="E15" i="12"/>
  <c r="F15" i="12"/>
  <c r="M16" i="12"/>
  <c r="O16" i="12" s="1"/>
  <c r="H16" i="12"/>
  <c r="E16" i="12"/>
  <c r="F16" i="12"/>
  <c r="P17" i="12"/>
  <c r="H17" i="12" s="1"/>
  <c r="M17" i="12"/>
  <c r="I17" i="12"/>
  <c r="E17" i="12"/>
  <c r="F17" i="12"/>
  <c r="M18" i="12"/>
  <c r="O18" i="12" s="1"/>
  <c r="H18" i="12"/>
  <c r="I18" i="12" s="1"/>
  <c r="E18" i="12"/>
  <c r="F18" i="12"/>
  <c r="M19" i="12"/>
  <c r="O19" i="12" s="1"/>
  <c r="H19" i="12"/>
  <c r="I19" i="12" s="1"/>
  <c r="E19" i="12"/>
  <c r="F19" i="12"/>
  <c r="M20" i="12"/>
  <c r="O20" i="12" s="1"/>
  <c r="I20" i="12"/>
  <c r="E20" i="12"/>
  <c r="F20" i="12"/>
  <c r="M21" i="12"/>
  <c r="I21" i="12"/>
  <c r="E21" i="12"/>
  <c r="F21" i="12"/>
  <c r="M22" i="12"/>
  <c r="O22" i="12" s="1"/>
  <c r="I22" i="12"/>
  <c r="E22" i="12"/>
  <c r="F22" i="12"/>
  <c r="M23" i="12"/>
  <c r="I23" i="12"/>
  <c r="E23" i="12"/>
  <c r="F23" i="12"/>
  <c r="M24" i="12"/>
  <c r="O24" i="12" s="1"/>
  <c r="I24" i="12"/>
  <c r="E24" i="12"/>
  <c r="F24" i="12"/>
  <c r="P25" i="12"/>
  <c r="H25" i="12" s="1"/>
  <c r="M25" i="12"/>
  <c r="I25" i="12"/>
  <c r="E25" i="12"/>
  <c r="F25" i="12"/>
  <c r="P26" i="12"/>
  <c r="H26" i="12" s="1"/>
  <c r="M26" i="12"/>
  <c r="I26" i="12"/>
  <c r="E26" i="12"/>
  <c r="F26" i="12"/>
  <c r="P27" i="12"/>
  <c r="H27" i="12" s="1"/>
  <c r="M27" i="12"/>
  <c r="I27" i="12"/>
  <c r="E27" i="12"/>
  <c r="F27" i="12"/>
  <c r="M28" i="12"/>
  <c r="O28" i="12" s="1"/>
  <c r="H28" i="12"/>
  <c r="I28" i="12" s="1"/>
  <c r="E28" i="12"/>
  <c r="F28" i="12"/>
  <c r="P29" i="12"/>
  <c r="H29" i="12" s="1"/>
  <c r="M29" i="12"/>
  <c r="I29" i="12"/>
  <c r="E29" i="12"/>
  <c r="F29" i="12"/>
  <c r="P30" i="12"/>
  <c r="H30" i="12" s="1"/>
  <c r="M30" i="12"/>
  <c r="I30" i="12"/>
  <c r="E30" i="12"/>
  <c r="F30" i="12"/>
  <c r="P31" i="12"/>
  <c r="M31" i="12"/>
  <c r="H31" i="12"/>
  <c r="I31" i="12" s="1"/>
  <c r="E31" i="12"/>
  <c r="F31" i="12"/>
  <c r="M32" i="12"/>
  <c r="H32" i="12"/>
  <c r="I32" i="12" s="1"/>
  <c r="F35" i="11" s="1"/>
  <c r="E32" i="12"/>
  <c r="F32" i="12"/>
  <c r="P33" i="12"/>
  <c r="M33" i="12"/>
  <c r="E33" i="12"/>
  <c r="F33" i="12"/>
  <c r="H33" i="12" s="1"/>
  <c r="I33" i="12" s="1"/>
  <c r="F36" i="11" s="1"/>
  <c r="M35" i="12"/>
  <c r="O35" i="12" s="1"/>
  <c r="H35" i="12"/>
  <c r="I35" i="12" s="1"/>
  <c r="E35" i="12"/>
  <c r="F35" i="12"/>
  <c r="M36" i="12"/>
  <c r="E36" i="12"/>
  <c r="F36" i="12"/>
  <c r="H36" i="12" s="1"/>
  <c r="I36" i="12" s="1"/>
  <c r="F39" i="11" s="1"/>
  <c r="M37" i="12"/>
  <c r="E37" i="12"/>
  <c r="F37" i="12"/>
  <c r="H37" i="12" s="1"/>
  <c r="I37" i="12" s="1"/>
  <c r="F40" i="11" s="1"/>
  <c r="M38" i="12"/>
  <c r="O38" i="12" s="1"/>
  <c r="H38" i="12"/>
  <c r="I38" i="12" s="1"/>
  <c r="E38" i="12"/>
  <c r="F38" i="12"/>
  <c r="M39" i="12"/>
  <c r="I39" i="12"/>
  <c r="E39" i="12"/>
  <c r="F39" i="12"/>
  <c r="M40" i="12"/>
  <c r="O40" i="12" s="1"/>
  <c r="E40" i="12"/>
  <c r="F40" i="12"/>
  <c r="H40" i="12" s="1"/>
  <c r="I40" i="12" s="1"/>
  <c r="F43" i="11" s="1"/>
  <c r="P41" i="12"/>
  <c r="H41" i="12" s="1"/>
  <c r="M41" i="12"/>
  <c r="I41" i="12"/>
  <c r="E41" i="12"/>
  <c r="F41" i="12"/>
  <c r="M43" i="12"/>
  <c r="I43" i="12"/>
  <c r="E43" i="12"/>
  <c r="F43" i="12"/>
  <c r="N8" i="12" l="1"/>
  <c r="H45" i="12"/>
  <c r="I16" i="12"/>
  <c r="N6" i="12"/>
  <c r="AG47" i="12"/>
  <c r="C4" i="12"/>
  <c r="J48" i="12" l="1"/>
  <c r="I4" i="12"/>
  <c r="F4" i="11" s="1"/>
  <c r="F47" i="11" s="1"/>
  <c r="C44" i="12"/>
  <c r="E4" i="12"/>
  <c r="F4" i="12"/>
  <c r="J49" i="12"/>
  <c r="I45" i="12" l="1"/>
  <c r="E44" i="12"/>
  <c r="N4" i="12"/>
  <c r="C54" i="12"/>
  <c r="F44" i="12"/>
</calcChain>
</file>

<file path=xl/sharedStrings.xml><?xml version="1.0" encoding="utf-8"?>
<sst xmlns="http://schemas.openxmlformats.org/spreadsheetml/2006/main" count="175" uniqueCount="87">
  <si>
    <t xml:space="preserve">Department: </t>
  </si>
  <si>
    <t>Requested Amount</t>
  </si>
  <si>
    <t>25-'26</t>
  </si>
  <si>
    <t>POST Quad 1 Reallocation</t>
  </si>
  <si>
    <t>POST Quad 2 Reallocation</t>
  </si>
  <si>
    <t>STUDENT GOV EXECUTIVE ACCT</t>
  </si>
  <si>
    <t>STUDENT GOV FORUM STIPEND ACCT</t>
  </si>
  <si>
    <t>CLUB CONTINGENCY</t>
  </si>
  <si>
    <t>Club Insurance</t>
  </si>
  <si>
    <t>URC</t>
  </si>
  <si>
    <t>Rep Initiatives - Seniors</t>
  </si>
  <si>
    <t>Rep Initiatives - Juniors</t>
  </si>
  <si>
    <t>Rep Initiatives - Sophomores</t>
  </si>
  <si>
    <t>Rep Initiatives - Freshmen</t>
  </si>
  <si>
    <t>IDIOM</t>
  </si>
  <si>
    <t>If I told you</t>
  </si>
  <si>
    <t>Princemere</t>
  </si>
  <si>
    <t>TARTAN</t>
  </si>
  <si>
    <t>VOX POPULI</t>
  </si>
  <si>
    <t>Advocates Sustainable Future</t>
  </si>
  <si>
    <t>Alzheimers buddies</t>
  </si>
  <si>
    <t>American Chemical Society</t>
  </si>
  <si>
    <t>Art Club</t>
  </si>
  <si>
    <t>Business Society</t>
  </si>
  <si>
    <t>Chess Club</t>
  </si>
  <si>
    <t>Climbing Club</t>
  </si>
  <si>
    <t>CMDA - Christain Medical &amp; Dental Association</t>
  </si>
  <si>
    <t>Computer Science Club</t>
  </si>
  <si>
    <t>Dance Club</t>
  </si>
  <si>
    <t>Democrats Club</t>
  </si>
  <si>
    <t>Figure Skating Club</t>
  </si>
  <si>
    <t>French Club</t>
  </si>
  <si>
    <t>Gordon Outdoors</t>
  </si>
  <si>
    <t>IJM</t>
  </si>
  <si>
    <t>Jack Augustine Society</t>
  </si>
  <si>
    <t>Law Club</t>
  </si>
  <si>
    <t>Linguistics</t>
  </si>
  <si>
    <t>Love for Our Elders</t>
  </si>
  <si>
    <t>NSSHLA</t>
  </si>
  <si>
    <t>Physics Club</t>
  </si>
  <si>
    <t>Pyschology Club</t>
  </si>
  <si>
    <t>Republicans Club</t>
  </si>
  <si>
    <t>Social Welfare</t>
  </si>
  <si>
    <t>Sweaty Tooth Madmen</t>
  </si>
  <si>
    <t>TableTop Club</t>
  </si>
  <si>
    <t>Tea Club</t>
  </si>
  <si>
    <t>The Common Exchange</t>
  </si>
  <si>
    <t>The Lens (photo club)</t>
  </si>
  <si>
    <t>n:</t>
  </si>
  <si>
    <t>Position</t>
  </si>
  <si>
    <t>Amount</t>
  </si>
  <si>
    <t>Executive President</t>
  </si>
  <si>
    <t>Executive Vice President</t>
  </si>
  <si>
    <t>Executive Secretary</t>
  </si>
  <si>
    <t>Director of Communications</t>
  </si>
  <si>
    <t>Assistant Director of Communications</t>
  </si>
  <si>
    <t>750 each</t>
  </si>
  <si>
    <t>Director of Finance</t>
  </si>
  <si>
    <t>Class Representatives (8) (senators)</t>
  </si>
  <si>
    <t>1000 per class reps +250 for Chairs</t>
  </si>
  <si>
    <t>Tartan Editor-in-Chief</t>
  </si>
  <si>
    <t>Tartan Managing Editor</t>
  </si>
  <si>
    <t>Vox Populi Editor-in-Chief</t>
  </si>
  <si>
    <t>Vox Populi Assistant Editor</t>
  </si>
  <si>
    <t>Princemere Editor-in-Chief</t>
  </si>
  <si>
    <t>Princemere Assistant Editor</t>
  </si>
  <si>
    <t>Idiom Editor-in-Chief</t>
  </si>
  <si>
    <t>Idiom Assistant Editor</t>
  </si>
  <si>
    <t>If I Told You Editor-in-Chief</t>
  </si>
  <si>
    <t>If I Told You Assistant Editor</t>
  </si>
  <si>
    <t>** deleted assistant directors and executive counsel</t>
  </si>
  <si>
    <t>Allocation</t>
  </si>
  <si>
    <t>Running Total</t>
  </si>
  <si>
    <t>+/-</t>
  </si>
  <si>
    <t>% Used</t>
  </si>
  <si>
    <t>Q2 reallocation totals</t>
  </si>
  <si>
    <t>Q2 reallocation</t>
  </si>
  <si>
    <t>GCSA</t>
  </si>
  <si>
    <t>Quad 1 Reallocation</t>
  </si>
  <si>
    <t>Pubs</t>
  </si>
  <si>
    <t>Clubs</t>
  </si>
  <si>
    <t>DIDNT SPEND</t>
  </si>
  <si>
    <t>Yarnaholics</t>
  </si>
  <si>
    <t>Total reallocation</t>
  </si>
  <si>
    <t>515 from N/A Clubs</t>
  </si>
  <si>
    <t xml:space="preserve">% of Operating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</si>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</sst>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[$$-409]* #,##0.000_);_([$$-409]* \(#,##0.000\);_([$$-409]* &quot;-&quot;???_);_(@_)"/>
    <numFmt numFmtId="167" formatCode="_(&quot;$&quot;* #,##0_);_(&quot;$&quot;* \(#,##0\);_(&quot;$&quot;* &quot;-&quot;??_);_(@_)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4"/>
      <name val="Calibri"/>
      <family val="2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b/>
      <sz val="11"/>
      <color theme="0"/>
      <name val="Aptos Narrow"/>
      <family val="2"/>
      <scheme val="minor"/>
    </font>
    <font>
      <sz val="10"/>
      <color rgb="FFFF0000"/>
      <name val="Tahoma"/>
      <family val="2"/>
    </font>
    <font>
      <sz val="10"/>
      <color rgb="FF000000"/>
      <name val="Tahoma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rgb="FF000000"/>
      <name val="Tahoma"/>
      <charset val="1"/>
    </font>
    <font>
      <sz val="11"/>
      <color rgb="FF000000"/>
      <name val="Aptos Narrow"/>
      <scheme val="minor"/>
    </font>
    <font>
      <sz val="12"/>
      <color rgb="FF000000"/>
      <name val="Aptos"/>
      <charset val="1"/>
    </font>
    <font>
      <sz val="11"/>
      <color rgb="FF000000"/>
      <name val="Segoe UI"/>
      <charset val="1"/>
    </font>
    <font>
      <b/>
      <sz val="12"/>
      <color theme="1"/>
      <name val="Inherit"/>
      <charset val="1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0"/>
      <color theme="1"/>
      <name val="Tahoma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C0F1C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0000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6" fontId="0" fillId="0" borderId="0" xfId="0" applyNumberFormat="1"/>
    <xf numFmtId="10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11" fillId="0" borderId="0" xfId="0" applyFont="1"/>
    <xf numFmtId="0" fontId="12" fillId="0" borderId="0" xfId="0" applyFont="1"/>
    <xf numFmtId="44" fontId="12" fillId="0" borderId="0" xfId="1" applyFont="1"/>
    <xf numFmtId="44" fontId="13" fillId="5" borderId="3" xfId="1" applyFont="1" applyFill="1" applyBorder="1"/>
    <xf numFmtId="0" fontId="13" fillId="5" borderId="3" xfId="0" applyFont="1" applyFill="1" applyBorder="1"/>
    <xf numFmtId="0" fontId="13" fillId="5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14" fillId="0" borderId="0" xfId="0" applyFont="1"/>
    <xf numFmtId="0" fontId="7" fillId="0" borderId="7" xfId="0" applyFont="1" applyBorder="1" applyAlignment="1">
      <alignment horizontal="center" vertical="top" readingOrder="1"/>
    </xf>
    <xf numFmtId="0" fontId="0" fillId="6" borderId="6" xfId="0" applyFill="1" applyBorder="1"/>
    <xf numFmtId="0" fontId="0" fillId="6" borderId="6" xfId="2" applyFont="1" applyFill="1" applyBorder="1" applyAlignment="1">
      <alignment vertical="top" readingOrder="1"/>
    </xf>
    <xf numFmtId="0" fontId="0" fillId="7" borderId="6" xfId="0" applyFill="1" applyBorder="1"/>
    <xf numFmtId="0" fontId="0" fillId="7" borderId="6" xfId="2" applyFont="1" applyFill="1" applyBorder="1" applyAlignment="1">
      <alignment vertical="top" readingOrder="1"/>
    </xf>
    <xf numFmtId="0" fontId="0" fillId="8" borderId="5" xfId="0" applyFill="1" applyBorder="1"/>
    <xf numFmtId="0" fontId="0" fillId="8" borderId="6" xfId="0" applyFill="1" applyBorder="1"/>
    <xf numFmtId="167" fontId="0" fillId="0" borderId="0" xfId="0" applyNumberFormat="1"/>
    <xf numFmtId="167" fontId="0" fillId="0" borderId="6" xfId="0" applyNumberFormat="1" applyBorder="1"/>
    <xf numFmtId="0" fontId="15" fillId="8" borderId="6" xfId="0" applyFont="1" applyFill="1" applyBorder="1"/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6" fillId="11" borderId="6" xfId="0" applyFont="1" applyFill="1" applyBorder="1"/>
    <xf numFmtId="0" fontId="16" fillId="11" borderId="6" xfId="0" applyFont="1" applyFill="1" applyBorder="1" applyAlignment="1">
      <alignment readingOrder="1"/>
    </xf>
    <xf numFmtId="0" fontId="16" fillId="12" borderId="6" xfId="0" applyFont="1" applyFill="1" applyBorder="1"/>
    <xf numFmtId="0" fontId="16" fillId="10" borderId="0" xfId="0" applyFont="1" applyFill="1"/>
    <xf numFmtId="6" fontId="16" fillId="10" borderId="0" xfId="0" applyNumberFormat="1" applyFont="1" applyFill="1"/>
    <xf numFmtId="0" fontId="18" fillId="0" borderId="0" xfId="0" applyFont="1" applyAlignment="1">
      <alignment readingOrder="1"/>
    </xf>
    <xf numFmtId="0" fontId="18" fillId="0" borderId="0" xfId="0" applyFont="1"/>
    <xf numFmtId="0" fontId="17" fillId="10" borderId="0" xfId="0" applyFont="1" applyFill="1"/>
    <xf numFmtId="44" fontId="4" fillId="9" borderId="4" xfId="0" quotePrefix="1" applyNumberFormat="1" applyFont="1" applyFill="1" applyBorder="1" applyAlignment="1">
      <alignment horizontal="center" vertical="center" wrapText="1" readingOrder="1"/>
    </xf>
    <xf numFmtId="0" fontId="16" fillId="11" borderId="11" xfId="0" applyFont="1" applyFill="1" applyBorder="1"/>
    <xf numFmtId="0" fontId="16" fillId="0" borderId="0" xfId="0" applyFont="1"/>
    <xf numFmtId="0" fontId="17" fillId="0" borderId="0" xfId="0" applyFont="1"/>
    <xf numFmtId="0" fontId="4" fillId="13" borderId="8" xfId="0" applyFont="1" applyFill="1" applyBorder="1" applyAlignment="1">
      <alignment horizontal="center" vertical="center" readingOrder="1"/>
    </xf>
    <xf numFmtId="167" fontId="0" fillId="0" borderId="4" xfId="0" applyNumberFormat="1" applyBorder="1"/>
    <xf numFmtId="167" fontId="5" fillId="2" borderId="12" xfId="1" applyNumberFormat="1" applyFont="1" applyFill="1" applyBorder="1" applyAlignment="1">
      <alignment horizontal="left" vertical="top" wrapText="1" readingOrder="1"/>
    </xf>
    <xf numFmtId="167" fontId="9" fillId="2" borderId="12" xfId="1" applyNumberFormat="1" applyFont="1" applyFill="1" applyBorder="1" applyAlignment="1">
      <alignment horizontal="left" vertical="top" wrapText="1" readingOrder="1"/>
    </xf>
    <xf numFmtId="167" fontId="6" fillId="2" borderId="12" xfId="1" applyNumberFormat="1" applyFont="1" applyFill="1" applyBorder="1" applyAlignment="1">
      <alignment horizontal="left" vertical="top" wrapText="1"/>
    </xf>
    <xf numFmtId="167" fontId="0" fillId="0" borderId="12" xfId="0" applyNumberFormat="1" applyBorder="1"/>
    <xf numFmtId="167" fontId="9" fillId="2" borderId="12" xfId="1" applyNumberFormat="1" applyFont="1" applyFill="1" applyBorder="1" applyAlignment="1">
      <alignment horizontal="left" vertical="top" wrapText="1"/>
    </xf>
    <xf numFmtId="167" fontId="5" fillId="2" borderId="12" xfId="1" applyNumberFormat="1" applyFont="1" applyFill="1" applyBorder="1" applyAlignment="1">
      <alignment horizontal="left" vertical="top" wrapText="1"/>
    </xf>
    <xf numFmtId="167" fontId="8" fillId="4" borderId="2" xfId="0" applyNumberFormat="1" applyFont="1" applyFill="1" applyBorder="1"/>
    <xf numFmtId="44" fontId="4" fillId="9" borderId="5" xfId="0" quotePrefix="1" applyNumberFormat="1" applyFont="1" applyFill="1" applyBorder="1" applyAlignment="1">
      <alignment horizontal="center" vertical="center" wrapText="1" readingOrder="1"/>
    </xf>
    <xf numFmtId="167" fontId="8" fillId="4" borderId="7" xfId="0" applyNumberFormat="1" applyFont="1" applyFill="1" applyBorder="1"/>
    <xf numFmtId="0" fontId="4" fillId="16" borderId="13" xfId="0" applyFont="1" applyFill="1" applyBorder="1" applyAlignment="1">
      <alignment horizontal="center" vertical="center" readingOrder="1"/>
    </xf>
    <xf numFmtId="44" fontId="4" fillId="17" borderId="14" xfId="0" quotePrefix="1" applyNumberFormat="1" applyFont="1" applyFill="1" applyBorder="1" applyAlignment="1">
      <alignment horizontal="center" vertical="center" wrapText="1" readingOrder="1"/>
    </xf>
    <xf numFmtId="44" fontId="4" fillId="18" borderId="14" xfId="0" quotePrefix="1" applyNumberFormat="1" applyFont="1" applyFill="1" applyBorder="1" applyAlignment="1">
      <alignment horizontal="center" vertical="center" wrapText="1" readingOrder="1"/>
    </xf>
    <xf numFmtId="44" fontId="4" fillId="19" borderId="15" xfId="0" quotePrefix="1" applyNumberFormat="1" applyFont="1" applyFill="1" applyBorder="1" applyAlignment="1">
      <alignment horizontal="center" vertical="center" wrapText="1" readingOrder="1"/>
    </xf>
    <xf numFmtId="44" fontId="4" fillId="20" borderId="16" xfId="0" quotePrefix="1" applyNumberFormat="1" applyFont="1" applyFill="1" applyBorder="1" applyAlignment="1">
      <alignment horizontal="center" vertical="center" wrapText="1" readingOrder="1"/>
    </xf>
    <xf numFmtId="0" fontId="0" fillId="8" borderId="11" xfId="0" applyFill="1" applyBorder="1"/>
    <xf numFmtId="44" fontId="21" fillId="2" borderId="17" xfId="1" applyFont="1" applyFill="1" applyBorder="1" applyAlignment="1">
      <alignment horizontal="left" vertical="top" wrapText="1" readingOrder="1"/>
    </xf>
    <xf numFmtId="164" fontId="22" fillId="0" borderId="0" xfId="0" applyNumberFormat="1" applyFont="1" applyAlignment="1">
      <alignment wrapText="1"/>
    </xf>
    <xf numFmtId="44" fontId="5" fillId="2" borderId="18" xfId="1" applyFont="1" applyFill="1" applyBorder="1" applyAlignment="1">
      <alignment horizontal="left" vertical="top" wrapText="1" readingOrder="1"/>
    </xf>
    <xf numFmtId="9" fontId="5" fillId="2" borderId="11" xfId="1" applyNumberFormat="1" applyFont="1" applyFill="1" applyBorder="1" applyAlignment="1">
      <alignment horizontal="right" vertical="top" wrapText="1" readingOrder="1"/>
    </xf>
    <xf numFmtId="44" fontId="0" fillId="0" borderId="0" xfId="0" applyNumberFormat="1" applyAlignment="1">
      <alignment vertical="top"/>
    </xf>
    <xf numFmtId="0" fontId="23" fillId="0" borderId="0" xfId="0" applyFont="1"/>
    <xf numFmtId="0" fontId="23" fillId="0" borderId="0" xfId="0" applyFont="1" applyAlignment="1">
      <alignment horizontal="center"/>
    </xf>
    <xf numFmtId="9" fontId="0" fillId="0" borderId="0" xfId="0" applyNumberFormat="1"/>
    <xf numFmtId="0" fontId="16" fillId="11" borderId="0" xfId="0" applyFont="1" applyFill="1" applyAlignment="1">
      <alignment readingOrder="1"/>
    </xf>
    <xf numFmtId="44" fontId="8" fillId="17" borderId="19" xfId="0" applyNumberFormat="1" applyFont="1" applyFill="1" applyBorder="1"/>
    <xf numFmtId="44" fontId="8" fillId="18" borderId="19" xfId="0" applyNumberFormat="1" applyFont="1" applyFill="1" applyBorder="1"/>
    <xf numFmtId="44" fontId="8" fillId="19" borderId="20" xfId="0" applyNumberFormat="1" applyFont="1" applyFill="1" applyBorder="1"/>
    <xf numFmtId="10" fontId="8" fillId="20" borderId="7" xfId="0" applyNumberFormat="1" applyFont="1" applyFill="1" applyBorder="1"/>
    <xf numFmtId="44" fontId="0" fillId="0" borderId="16" xfId="0" applyNumberFormat="1" applyBorder="1"/>
    <xf numFmtId="167" fontId="9" fillId="2" borderId="21" xfId="1" applyNumberFormat="1" applyFont="1" applyFill="1" applyBorder="1" applyAlignment="1">
      <alignment horizontal="left" vertical="top" wrapText="1"/>
    </xf>
    <xf numFmtId="0" fontId="24" fillId="0" borderId="0" xfId="0" applyFont="1"/>
    <xf numFmtId="0" fontId="24" fillId="8" borderId="16" xfId="0" applyFont="1" applyFill="1" applyBorder="1"/>
    <xf numFmtId="44" fontId="5" fillId="2" borderId="22" xfId="1" applyFont="1" applyFill="1" applyBorder="1" applyAlignment="1">
      <alignment horizontal="left" vertical="top" wrapText="1" readingOrder="1"/>
    </xf>
    <xf numFmtId="44" fontId="5" fillId="2" borderId="23" xfId="1" applyFont="1" applyFill="1" applyBorder="1" applyAlignment="1">
      <alignment horizontal="left" vertical="top" wrapText="1" readingOrder="1"/>
    </xf>
    <xf numFmtId="9" fontId="5" fillId="2" borderId="16" xfId="1" applyNumberFormat="1" applyFont="1" applyFill="1" applyBorder="1" applyAlignment="1">
      <alignment horizontal="right" vertical="top" wrapText="1" readingOrder="1"/>
    </xf>
    <xf numFmtId="44" fontId="4" fillId="9" borderId="9" xfId="0" quotePrefix="1" applyNumberFormat="1" applyFont="1" applyFill="1" applyBorder="1" applyAlignment="1">
      <alignment horizontal="center" vertical="center" wrapText="1" readingOrder="1"/>
    </xf>
    <xf numFmtId="44" fontId="4" fillId="21" borderId="4" xfId="0" quotePrefix="1" applyNumberFormat="1" applyFont="1" applyFill="1" applyBorder="1" applyAlignment="1">
      <alignment horizontal="center" vertical="center" wrapText="1" readingOrder="1"/>
    </xf>
    <xf numFmtId="44" fontId="4" fillId="22" borderId="5" xfId="0" quotePrefix="1" applyNumberFormat="1" applyFont="1" applyFill="1" applyBorder="1" applyAlignment="1">
      <alignment horizontal="center" vertical="center" wrapText="1" readingOrder="1"/>
    </xf>
    <xf numFmtId="44" fontId="4" fillId="23" borderId="5" xfId="0" quotePrefix="1" applyNumberFormat="1" applyFont="1" applyFill="1" applyBorder="1" applyAlignment="1">
      <alignment horizontal="center" vertical="center" wrapText="1" readingOrder="1"/>
    </xf>
    <xf numFmtId="44" fontId="4" fillId="24" borderId="16" xfId="0" quotePrefix="1" applyNumberFormat="1" applyFont="1" applyFill="1" applyBorder="1" applyAlignment="1">
      <alignment horizontal="center" vertical="center" wrapText="1" readingOrder="1"/>
    </xf>
    <xf numFmtId="164" fontId="19" fillId="14" borderId="0" xfId="3" applyNumberFormat="1"/>
    <xf numFmtId="44" fontId="19" fillId="14" borderId="0" xfId="3" applyNumberFormat="1"/>
    <xf numFmtId="44" fontId="20" fillId="15" borderId="0" xfId="4" applyNumberFormat="1"/>
    <xf numFmtId="0" fontId="2" fillId="0" borderId="0" xfId="2" quotePrefix="1"/>
    <xf numFmtId="167" fontId="0" fillId="6" borderId="4" xfId="0" applyNumberFormat="1" applyFill="1" applyBorder="1"/>
    <xf numFmtId="167" fontId="0" fillId="6" borderId="6" xfId="0" applyNumberFormat="1" applyFill="1" applyBorder="1"/>
    <xf numFmtId="167" fontId="5" fillId="6" borderId="12" xfId="1" applyNumberFormat="1" applyFont="1" applyFill="1" applyBorder="1" applyAlignment="1">
      <alignment horizontal="left" vertical="top" wrapText="1" readingOrder="1"/>
    </xf>
    <xf numFmtId="167" fontId="5" fillId="6" borderId="21" xfId="1" applyNumberFormat="1" applyFont="1" applyFill="1" applyBorder="1" applyAlignment="1">
      <alignment horizontal="left" vertical="top" wrapText="1" readingOrder="1"/>
    </xf>
    <xf numFmtId="167" fontId="0" fillId="6" borderId="7" xfId="0" applyNumberFormat="1" applyFill="1" applyBorder="1"/>
    <xf numFmtId="167" fontId="9" fillId="26" borderId="18" xfId="1" applyNumberFormat="1" applyFont="1" applyFill="1" applyBorder="1" applyAlignment="1">
      <alignment horizontal="left" vertical="top" wrapText="1" readingOrder="1"/>
    </xf>
    <xf numFmtId="167" fontId="0" fillId="26" borderId="11" xfId="0" applyNumberFormat="1" applyFill="1" applyBorder="1"/>
    <xf numFmtId="167" fontId="6" fillId="26" borderId="12" xfId="1" applyNumberFormat="1" applyFont="1" applyFill="1" applyBorder="1" applyAlignment="1">
      <alignment horizontal="left" vertical="top" wrapText="1"/>
    </xf>
    <xf numFmtId="167" fontId="0" fillId="26" borderId="6" xfId="0" applyNumberFormat="1" applyFill="1" applyBorder="1"/>
    <xf numFmtId="167" fontId="9" fillId="26" borderId="12" xfId="1" applyNumberFormat="1" applyFont="1" applyFill="1" applyBorder="1" applyAlignment="1">
      <alignment horizontal="left" vertical="top" wrapText="1" readingOrder="1"/>
    </xf>
    <xf numFmtId="167" fontId="0" fillId="26" borderId="12" xfId="0" applyNumberFormat="1" applyFill="1" applyBorder="1"/>
    <xf numFmtId="167" fontId="9" fillId="26" borderId="21" xfId="1" applyNumberFormat="1" applyFont="1" applyFill="1" applyBorder="1" applyAlignment="1">
      <alignment horizontal="left" vertical="top" wrapText="1" readingOrder="1"/>
    </xf>
    <xf numFmtId="167" fontId="0" fillId="26" borderId="7" xfId="0" applyNumberFormat="1" applyFill="1" applyBorder="1"/>
    <xf numFmtId="0" fontId="4" fillId="13" borderId="4" xfId="0" applyFont="1" applyFill="1" applyBorder="1" applyAlignment="1">
      <alignment horizontal="center" vertical="center" readingOrder="1"/>
    </xf>
    <xf numFmtId="0" fontId="0" fillId="8" borderId="25" xfId="0" applyFill="1" applyBorder="1"/>
    <xf numFmtId="0" fontId="0" fillId="8" borderId="12" xfId="0" applyFill="1" applyBorder="1"/>
    <xf numFmtId="0" fontId="15" fillId="8" borderId="12" xfId="0" applyFont="1" applyFill="1" applyBorder="1"/>
    <xf numFmtId="0" fontId="0" fillId="8" borderId="21" xfId="0" applyFill="1" applyBorder="1"/>
    <xf numFmtId="0" fontId="0" fillId="25" borderId="18" xfId="0" applyFill="1" applyBorder="1"/>
    <xf numFmtId="0" fontId="0" fillId="25" borderId="12" xfId="2" applyFont="1" applyFill="1" applyBorder="1" applyAlignment="1">
      <alignment vertical="top" readingOrder="1"/>
    </xf>
    <xf numFmtId="0" fontId="0" fillId="25" borderId="12" xfId="0" applyFill="1" applyBorder="1"/>
    <xf numFmtId="0" fontId="0" fillId="25" borderId="21" xfId="0" applyFill="1" applyBorder="1"/>
    <xf numFmtId="0" fontId="7" fillId="0" borderId="21" xfId="0" applyFont="1" applyBorder="1" applyAlignment="1">
      <alignment horizontal="center" vertical="top" readingOrder="1"/>
    </xf>
    <xf numFmtId="167" fontId="5" fillId="6" borderId="1" xfId="1" applyNumberFormat="1" applyFont="1" applyFill="1" applyBorder="1" applyAlignment="1">
      <alignment horizontal="left" vertical="top" wrapText="1" readingOrder="1"/>
    </xf>
    <xf numFmtId="167" fontId="5" fillId="6" borderId="10" xfId="1" applyNumberFormat="1" applyFont="1" applyFill="1" applyBorder="1" applyAlignment="1">
      <alignment horizontal="left" vertical="top" wrapText="1" readingOrder="1"/>
    </xf>
    <xf numFmtId="167" fontId="5" fillId="26" borderId="24" xfId="1" applyNumberFormat="1" applyFont="1" applyFill="1" applyBorder="1" applyAlignment="1">
      <alignment horizontal="left" vertical="top" wrapText="1" readingOrder="1"/>
    </xf>
    <xf numFmtId="167" fontId="6" fillId="26" borderId="1" xfId="1" applyNumberFormat="1" applyFont="1" applyFill="1" applyBorder="1" applyAlignment="1">
      <alignment horizontal="left" vertical="top" wrapText="1"/>
    </xf>
    <xf numFmtId="167" fontId="5" fillId="26" borderId="1" xfId="1" applyNumberFormat="1" applyFont="1" applyFill="1" applyBorder="1" applyAlignment="1">
      <alignment horizontal="left" vertical="top" wrapText="1" readingOrder="1"/>
    </xf>
    <xf numFmtId="167" fontId="10" fillId="26" borderId="1" xfId="1" applyNumberFormat="1" applyFont="1" applyFill="1" applyBorder="1" applyAlignment="1">
      <alignment horizontal="left" vertical="top" wrapText="1" readingOrder="1"/>
    </xf>
    <xf numFmtId="167" fontId="5" fillId="26" borderId="10" xfId="1" applyNumberFormat="1" applyFont="1" applyFill="1" applyBorder="1" applyAlignment="1">
      <alignment horizontal="left" vertical="top" wrapText="1" readingOrder="1"/>
    </xf>
    <xf numFmtId="167" fontId="8" fillId="3" borderId="10" xfId="0" applyNumberFormat="1" applyFont="1" applyFill="1" applyBorder="1"/>
    <xf numFmtId="0" fontId="0" fillId="27" borderId="18" xfId="0" applyFill="1" applyBorder="1"/>
    <xf numFmtId="0" fontId="0" fillId="27" borderId="12" xfId="2" applyFont="1" applyFill="1" applyBorder="1" applyAlignment="1">
      <alignment vertical="top" readingOrder="1"/>
    </xf>
    <xf numFmtId="0" fontId="0" fillId="27" borderId="12" xfId="0" applyFill="1" applyBorder="1"/>
    <xf numFmtId="167" fontId="5" fillId="28" borderId="24" xfId="1" applyNumberFormat="1" applyFont="1" applyFill="1" applyBorder="1" applyAlignment="1">
      <alignment horizontal="left" vertical="top" wrapText="1" readingOrder="1"/>
    </xf>
    <xf numFmtId="167" fontId="5" fillId="28" borderId="18" xfId="1" applyNumberFormat="1" applyFont="1" applyFill="1" applyBorder="1" applyAlignment="1">
      <alignment horizontal="left" vertical="top" wrapText="1" readingOrder="1"/>
    </xf>
    <xf numFmtId="167" fontId="0" fillId="28" borderId="11" xfId="0" applyNumberFormat="1" applyFill="1" applyBorder="1"/>
    <xf numFmtId="167" fontId="6" fillId="28" borderId="1" xfId="1" applyNumberFormat="1" applyFont="1" applyFill="1" applyBorder="1" applyAlignment="1">
      <alignment horizontal="left" vertical="top" wrapText="1"/>
    </xf>
    <xf numFmtId="167" fontId="9" fillId="28" borderId="12" xfId="1" applyNumberFormat="1" applyFont="1" applyFill="1" applyBorder="1" applyAlignment="1">
      <alignment horizontal="left" vertical="top" wrapText="1"/>
    </xf>
    <xf numFmtId="167" fontId="0" fillId="28" borderId="6" xfId="0" applyNumberFormat="1" applyFill="1" applyBorder="1"/>
    <xf numFmtId="167" fontId="6" fillId="28" borderId="12" xfId="1" applyNumberFormat="1" applyFont="1" applyFill="1" applyBorder="1" applyAlignment="1">
      <alignment horizontal="left" vertical="top" wrapText="1"/>
    </xf>
    <xf numFmtId="167" fontId="5" fillId="28" borderId="1" xfId="1" applyNumberFormat="1" applyFont="1" applyFill="1" applyBorder="1" applyAlignment="1">
      <alignment horizontal="left" vertical="top" wrapText="1" readingOrder="1"/>
    </xf>
    <xf numFmtId="167" fontId="5" fillId="28" borderId="12" xfId="1" applyNumberFormat="1" applyFont="1" applyFill="1" applyBorder="1" applyAlignment="1">
      <alignment horizontal="left" vertical="top" wrapText="1" readingOrder="1"/>
    </xf>
    <xf numFmtId="164" fontId="6" fillId="28" borderId="1" xfId="1" applyNumberFormat="1" applyFont="1" applyFill="1" applyBorder="1" applyAlignment="1">
      <alignment horizontal="left" vertical="top" wrapText="1"/>
    </xf>
    <xf numFmtId="167" fontId="9" fillId="28" borderId="12" xfId="1" applyNumberFormat="1" applyFont="1" applyFill="1" applyBorder="1" applyAlignment="1">
      <alignment horizontal="left" vertical="top" wrapText="1" readingOrder="1"/>
    </xf>
    <xf numFmtId="167" fontId="5" fillId="28" borderId="12" xfId="1" applyNumberFormat="1" applyFont="1" applyFill="1" applyBorder="1" applyAlignment="1">
      <alignment horizontal="left" vertical="top" wrapText="1"/>
    </xf>
  </cellXfs>
  <cellStyles count="5">
    <cellStyle name="Bad" xfId="3" builtinId="27"/>
    <cellStyle name="Currency" xfId="1" builtinId="4"/>
    <cellStyle name="Hyperlink" xfId="2" builtinId="8"/>
    <cellStyle name="Neutral" xfId="4" builtinId="28"/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/>
          </c:tx>
          <c:spPr>
            <a:ln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0-4A53-8421-6E82D778E792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20-4A53-8421-6E82D778E792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20-4A53-8421-6E82D778E792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20-4A53-8421-6E82D778E792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20-4A53-8421-6E82D778E792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20-4A53-8421-6E82D778E792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0620-4A53-8421-6E82D778E7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BUDGET!$N$4:$T$4</c:f>
              <c:numCache>
                <c:formatCode>General</c:formatCode>
                <c:ptCount val="7"/>
              </c:numCache>
            </c:numRef>
          </c:cat>
          <c:val>
            <c:numRef>
              <c:f>BUDGET!$N$5:$T$5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0620-4A53-8421-6E82D778E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/>
          </c:tx>
          <c:spPr>
            <a:ln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E-477E-A46F-C882D3C90212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3E-477E-A46F-C882D3C90212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3E-477E-A46F-C882D3C90212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3E-477E-A46F-C882D3C90212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3E-477E-A46F-C882D3C90212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3E-477E-A46F-C882D3C90212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3E-477E-A46F-C882D3C902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'[2]Working Budget'!$N$4:$T$4</c:f>
              <c:strCache>
                <c:ptCount val="7"/>
              </c:strCache>
            </c:strRef>
          </c:cat>
          <c:val>
            <c:numRef>
              <c:f>'[2]Working Budget'!$N$5:$T$5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BA3E-477E-A46F-C882D3C9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1162050</xdr:colOff>
      <xdr:row>30</xdr:row>
      <xdr:rowOff>0</xdr:rowOff>
    </xdr:from>
    <xdr:to>
      <xdr:col>24</xdr:col>
      <xdr:colOff>600075</xdr:colOff>
      <xdr:row>50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4E39D60-D882-4457-92D0-979F78F20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190500</xdr:colOff>
      <xdr:row>13</xdr:row>
      <xdr:rowOff>19050</xdr:rowOff>
    </xdr:from>
    <xdr:to>
      <xdr:col>45</xdr:col>
      <xdr:colOff>0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9B50A-3313-45D2-B2B2-6A7A2D5B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rdonedu.sharepoint.com/sites/GordonCollegeStudentGovernment/Finance/'25-'26%20Log.xlsx" TargetMode="External"/><Relationship Id="rId1" Type="http://schemas.openxmlformats.org/officeDocument/2006/relationships/externalLinkPath" Target="'25-'26%20Lo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rdonedu.sharepoint.com/sites/GordonCollegeStudentGovernment/Finance/GCSA%20Budget%20FY%2025-26.xlsx" TargetMode="External"/><Relationship Id="rId1" Type="http://schemas.openxmlformats.org/officeDocument/2006/relationships/externalLinkPath" Target="GCSA%20Budget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FyMrgONkZEy6O3q7bd7tLrLSpBaWdQlDtEOOjejPi1BQyTsxiCArTL_6e-0kJD0X" itemId="01FDXKW7A5TNOC4NN56NGK5V62EBYTDHOH">
      <xxl21:absoluteUrl r:id="rId2"/>
    </xxl21:alternateUrls>
    <sheetNames>
      <sheetName val="Spending Totals"/>
      <sheetName val="12.17 reallocation"/>
      <sheetName val="Reclaim Workspace 2"/>
      <sheetName val="Account #s"/>
      <sheetName val="Running Log"/>
      <sheetName val="HISTORY----"/>
      <sheetName val="Sheet1"/>
      <sheetName val="10.28 reallocation submission"/>
      <sheetName val="Reclaim Workspace"/>
      <sheetName val="Spending Totals Original"/>
      <sheetName val="Working Budget"/>
      <sheetName val="Reallocation 10.28.25"/>
      <sheetName val="Reclaim Workspace 2 (2)"/>
    </sheetNames>
    <sheetDataSet>
      <sheetData sheetId="0">
        <row r="4">
          <cell r="D4">
            <v>5750.85</v>
          </cell>
        </row>
        <row r="5">
          <cell r="D5">
            <v>0</v>
          </cell>
        </row>
        <row r="6">
          <cell r="D6">
            <v>1147.71</v>
          </cell>
        </row>
        <row r="7">
          <cell r="D7"/>
        </row>
        <row r="11">
          <cell r="D11">
            <v>547.80999999999995</v>
          </cell>
        </row>
        <row r="12">
          <cell r="D12"/>
        </row>
        <row r="13">
          <cell r="D13">
            <v>16.39</v>
          </cell>
        </row>
        <row r="14">
          <cell r="D14">
            <v>3494.25</v>
          </cell>
        </row>
        <row r="15">
          <cell r="D15"/>
        </row>
        <row r="16">
          <cell r="D16">
            <v>18.79</v>
          </cell>
        </row>
        <row r="17">
          <cell r="D17"/>
        </row>
        <row r="18">
          <cell r="D18">
            <v>168.27</v>
          </cell>
        </row>
        <row r="19">
          <cell r="D19">
            <v>689.55</v>
          </cell>
        </row>
        <row r="20">
          <cell r="D20">
            <v>1096.53</v>
          </cell>
        </row>
        <row r="21">
          <cell r="D21">
            <v>352.25</v>
          </cell>
        </row>
        <row r="22">
          <cell r="D22">
            <v>773.84</v>
          </cell>
        </row>
        <row r="23">
          <cell r="D23">
            <v>415.87</v>
          </cell>
        </row>
        <row r="24">
          <cell r="D24">
            <v>341.49</v>
          </cell>
        </row>
        <row r="25">
          <cell r="D25"/>
        </row>
        <row r="26">
          <cell r="D26"/>
        </row>
        <row r="27">
          <cell r="D27"/>
        </row>
        <row r="28">
          <cell r="D28"/>
        </row>
        <row r="29">
          <cell r="D29">
            <v>626.79999999999995</v>
          </cell>
        </row>
        <row r="30">
          <cell r="D30"/>
        </row>
        <row r="31">
          <cell r="D31"/>
        </row>
        <row r="32">
          <cell r="D32">
            <v>159.13999999999999</v>
          </cell>
        </row>
        <row r="33">
          <cell r="D33">
            <v>71.680000000000007</v>
          </cell>
        </row>
        <row r="35">
          <cell r="D35">
            <v>201.52</v>
          </cell>
        </row>
        <row r="36">
          <cell r="D36">
            <v>13.78</v>
          </cell>
        </row>
        <row r="37">
          <cell r="D37">
            <v>103.44</v>
          </cell>
        </row>
        <row r="38">
          <cell r="D38">
            <v>114.21</v>
          </cell>
        </row>
        <row r="39">
          <cell r="D39">
            <v>152.16999999999999</v>
          </cell>
        </row>
        <row r="40">
          <cell r="D40">
            <v>605.98</v>
          </cell>
        </row>
        <row r="41">
          <cell r="D41">
            <v>461.41</v>
          </cell>
        </row>
        <row r="42">
          <cell r="D4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FyMrgONkZEy6O3q7bd7tLrLSpBaWdQlDtEOOjejPi1BQyTsxiCArTL_6e-0kJD0X" itemId="01FDXKW7H64LO45NHH4FF2D5WSI4GQD33S">
      <xxl21:absoluteUrl r:id="rId2"/>
    </xxl21:alternateUrls>
    <sheetNames>
      <sheetName val="Working Budget"/>
      <sheetName val="Stipends"/>
      <sheetName val="Budget Workspace"/>
      <sheetName val="Budget Transfers"/>
      <sheetName val="Budget Final"/>
      <sheetName val="25-26 First Budget Final "/>
      <sheetName val="25-26 Updated Budget Final"/>
      <sheetName val="Proposal 2025-2026"/>
      <sheetName val="Sheet1"/>
    </sheetNames>
    <sheetDataSet>
      <sheetData sheetId="0">
        <row r="4">
          <cell r="N4"/>
          <cell r="O4"/>
          <cell r="P4"/>
          <cell r="Q4"/>
          <cell r="R4"/>
          <cell r="S4"/>
          <cell r="T4"/>
        </row>
        <row r="5">
          <cell r="N5"/>
          <cell r="O5"/>
          <cell r="P5"/>
          <cell r="Q5"/>
          <cell r="R5"/>
          <cell r="S5"/>
          <cell r="T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4E2B-B390-423D-B8BD-2E45CDB571FC}">
  <sheetPr>
    <tabColor theme="6" tint="-0.499984740745262"/>
  </sheetPr>
  <dimension ref="A1:V70"/>
  <sheetViews>
    <sheetView tabSelected="1" topLeftCell="A3" workbookViewId="0">
      <selection activeCell="B20" sqref="B20"/>
    </sheetView>
  </sheetViews>
  <sheetFormatPr defaultColWidth="8.85546875" defaultRowHeight="15"/>
  <cols>
    <col min="1" max="1" width="1.140625" customWidth="1"/>
    <col min="2" max="2" width="40.42578125" customWidth="1"/>
    <col min="3" max="3" width="19.140625" customWidth="1"/>
    <col min="4" max="4" width="20" customWidth="1"/>
    <col min="5" max="5" width="20.42578125" customWidth="1"/>
    <col min="6" max="6" width="20.85546875" customWidth="1"/>
    <col min="7" max="8" width="18.85546875" bestFit="1" customWidth="1"/>
    <col min="9" max="9" width="21.140625" customWidth="1"/>
    <col min="10" max="10" width="18.140625" customWidth="1"/>
    <col min="11" max="13" width="9.140625"/>
    <col min="14" max="14" width="12.28515625" customWidth="1"/>
    <col min="15" max="15" width="24.28515625" customWidth="1"/>
    <col min="16" max="16" width="11.7109375" bestFit="1" customWidth="1"/>
    <col min="17" max="17" width="24.28515625" bestFit="1" customWidth="1"/>
    <col min="18" max="20" width="10.5703125" customWidth="1"/>
    <col min="21" max="21" width="9.140625"/>
    <col min="22" max="22" width="10.140625" bestFit="1" customWidth="1"/>
    <col min="23" max="23" width="11.7109375" bestFit="1" customWidth="1"/>
    <col min="24" max="24" width="18.85546875" bestFit="1" customWidth="1"/>
    <col min="25" max="28" width="11.7109375" bestFit="1" customWidth="1"/>
    <col min="29" max="29" width="10.7109375" bestFit="1" customWidth="1"/>
  </cols>
  <sheetData>
    <row r="1" spans="2:22" ht="12.75" hidden="1" customHeight="1"/>
    <row r="2" spans="2:22" ht="31.5" hidden="1">
      <c r="C2" s="1"/>
      <c r="D2" s="1"/>
    </row>
    <row r="3" spans="2:22" ht="28.5">
      <c r="B3" s="99" t="s">
        <v>0</v>
      </c>
      <c r="C3" s="77" t="s">
        <v>1</v>
      </c>
      <c r="D3" s="78" t="s">
        <v>2</v>
      </c>
      <c r="E3" s="79" t="s">
        <v>3</v>
      </c>
      <c r="F3" s="80" t="s">
        <v>4</v>
      </c>
      <c r="J3" s="34"/>
    </row>
    <row r="4" spans="2:22" ht="15.75">
      <c r="B4" s="100" t="s">
        <v>5</v>
      </c>
      <c r="C4" s="109">
        <v>20000</v>
      </c>
      <c r="D4" s="86">
        <f>725+2500+2500</f>
        <v>5725</v>
      </c>
      <c r="E4" s="87">
        <f>D4+2000</f>
        <v>7725</v>
      </c>
      <c r="F4" s="87">
        <f>'Reclaim Workspace 2'!I4</f>
        <v>14957.74</v>
      </c>
      <c r="J4" s="38"/>
      <c r="R4" s="13"/>
      <c r="S4" s="13"/>
      <c r="T4" s="13"/>
    </row>
    <row r="5" spans="2:22" ht="15.75">
      <c r="B5" s="101" t="s">
        <v>6</v>
      </c>
      <c r="C5" s="109">
        <v>30750</v>
      </c>
      <c r="D5" s="88">
        <v>27850</v>
      </c>
      <c r="E5" s="87">
        <f>D5</f>
        <v>27850</v>
      </c>
      <c r="F5" s="87">
        <f>'Reclaim Workspace 2'!C49</f>
        <v>27850</v>
      </c>
      <c r="J5" s="38"/>
      <c r="R5" s="23"/>
      <c r="S5" s="23"/>
      <c r="T5" s="23"/>
      <c r="V5" s="23"/>
    </row>
    <row r="6" spans="2:22" ht="16.5">
      <c r="B6" s="101" t="s">
        <v>7</v>
      </c>
      <c r="C6" s="109">
        <v>5000</v>
      </c>
      <c r="D6" s="88">
        <f>2500-1800+73-200</f>
        <v>573</v>
      </c>
      <c r="E6" s="87">
        <f>D6+2302-550</f>
        <v>2325</v>
      </c>
      <c r="F6" s="87">
        <f>'Reclaim Workspace 2'!I5-250</f>
        <v>1290</v>
      </c>
      <c r="J6" s="39"/>
    </row>
    <row r="7" spans="2:22" ht="16.5">
      <c r="B7" s="101" t="s">
        <v>8</v>
      </c>
      <c r="C7" s="88">
        <f>D7</f>
        <v>1722</v>
      </c>
      <c r="D7" s="88">
        <f>E7</f>
        <v>1722</v>
      </c>
      <c r="E7" s="87">
        <f>F7</f>
        <v>1722</v>
      </c>
      <c r="F7" s="87">
        <f>'Reclaim Workspace 2'!C50</f>
        <v>1722</v>
      </c>
      <c r="J7" s="39"/>
    </row>
    <row r="8" spans="2:22" ht="16.5">
      <c r="B8" s="102" t="s">
        <v>9</v>
      </c>
      <c r="C8" s="109">
        <v>2500</v>
      </c>
      <c r="D8" s="88">
        <v>3500</v>
      </c>
      <c r="E8" s="87">
        <f>D8</f>
        <v>3500</v>
      </c>
      <c r="F8" s="87">
        <f>'Reclaim Workspace 2'!I6</f>
        <v>3500</v>
      </c>
      <c r="J8" s="39"/>
    </row>
    <row r="9" spans="2:22" ht="16.5">
      <c r="B9" s="101" t="s">
        <v>10</v>
      </c>
      <c r="C9" s="109">
        <v>0</v>
      </c>
      <c r="D9" s="88">
        <v>4000</v>
      </c>
      <c r="E9" s="87">
        <f t="shared" ref="E9:F15" si="0">D9</f>
        <v>4000</v>
      </c>
      <c r="F9" s="87">
        <f>'Reclaim Workspace 2'!I7</f>
        <v>3000</v>
      </c>
      <c r="J9" s="39"/>
    </row>
    <row r="10" spans="2:22" ht="16.5">
      <c r="B10" s="101" t="s">
        <v>11</v>
      </c>
      <c r="C10" s="109">
        <v>0</v>
      </c>
      <c r="D10" s="88">
        <v>2000</v>
      </c>
      <c r="E10" s="87">
        <f t="shared" si="0"/>
        <v>2000</v>
      </c>
      <c r="F10" s="87">
        <f>'Reclaim Workspace 2'!I8</f>
        <v>1500</v>
      </c>
      <c r="H10" s="85"/>
      <c r="J10" s="39"/>
    </row>
    <row r="11" spans="2:22" ht="16.5">
      <c r="B11" s="101" t="s">
        <v>12</v>
      </c>
      <c r="C11" s="109">
        <v>0</v>
      </c>
      <c r="D11" s="88">
        <v>2000</v>
      </c>
      <c r="E11" s="87"/>
      <c r="F11" s="87">
        <f>'Reclaim Workspace 2'!I9</f>
        <v>2000</v>
      </c>
      <c r="J11" s="39"/>
    </row>
    <row r="12" spans="2:22" ht="16.5">
      <c r="B12" s="103" t="s">
        <v>13</v>
      </c>
      <c r="C12" s="110">
        <v>0</v>
      </c>
      <c r="D12" s="89">
        <v>2000</v>
      </c>
      <c r="E12" s="90">
        <f t="shared" si="0"/>
        <v>2000</v>
      </c>
      <c r="F12" s="90">
        <f>'Reclaim Workspace 2'!I10</f>
        <v>1500</v>
      </c>
      <c r="J12" s="39"/>
    </row>
    <row r="13" spans="2:22" ht="16.5">
      <c r="B13" s="104" t="s">
        <v>14</v>
      </c>
      <c r="C13" s="111">
        <v>5000</v>
      </c>
      <c r="D13" s="91">
        <v>4400</v>
      </c>
      <c r="E13" s="92">
        <f t="shared" si="0"/>
        <v>4400</v>
      </c>
      <c r="F13" s="92">
        <f>'Reclaim Workspace 2'!I11</f>
        <v>4400</v>
      </c>
      <c r="J13" s="39"/>
    </row>
    <row r="14" spans="2:22" ht="16.5">
      <c r="B14" s="105" t="s">
        <v>15</v>
      </c>
      <c r="C14" s="112">
        <v>2580</v>
      </c>
      <c r="D14" s="93">
        <v>2580</v>
      </c>
      <c r="E14" s="94">
        <f t="shared" si="0"/>
        <v>2580</v>
      </c>
      <c r="F14" s="94">
        <f>'Reclaim Workspace 2'!I12</f>
        <v>2580</v>
      </c>
      <c r="J14" s="39"/>
    </row>
    <row r="15" spans="2:22" ht="16.5">
      <c r="B15" s="106" t="s">
        <v>16</v>
      </c>
      <c r="C15" s="113">
        <v>620</v>
      </c>
      <c r="D15" s="95">
        <v>500</v>
      </c>
      <c r="E15" s="94">
        <f t="shared" si="0"/>
        <v>500</v>
      </c>
      <c r="F15" s="94">
        <f>'Reclaim Workspace 2'!I13</f>
        <v>500</v>
      </c>
      <c r="J15" s="39"/>
    </row>
    <row r="16" spans="2:22" ht="16.5">
      <c r="B16" s="106" t="s">
        <v>17</v>
      </c>
      <c r="C16" s="114">
        <v>9098</v>
      </c>
      <c r="D16" s="96">
        <v>9100</v>
      </c>
      <c r="E16" s="94">
        <f>D16-2000</f>
        <v>7100</v>
      </c>
      <c r="F16" s="94">
        <f>'Reclaim Workspace 2'!I14</f>
        <v>7100</v>
      </c>
      <c r="J16" s="39"/>
    </row>
    <row r="17" spans="2:10" ht="16.5">
      <c r="B17" s="107" t="s">
        <v>18</v>
      </c>
      <c r="C17" s="115">
        <v>1850</v>
      </c>
      <c r="D17" s="97">
        <v>1600</v>
      </c>
      <c r="E17" s="98">
        <f>D17</f>
        <v>1600</v>
      </c>
      <c r="F17" s="98">
        <f>'Reclaim Workspace 2'!I15</f>
        <v>1600</v>
      </c>
      <c r="J17" s="39"/>
    </row>
    <row r="18" spans="2:10" ht="14.25">
      <c r="B18" s="117" t="s">
        <v>19</v>
      </c>
      <c r="C18" s="120">
        <v>900</v>
      </c>
      <c r="D18" s="121">
        <v>900</v>
      </c>
      <c r="E18" s="122">
        <f>D18-O18</f>
        <v>900</v>
      </c>
      <c r="F18" s="122">
        <f>'Reclaim Workspace 2'!I16</f>
        <v>393.5</v>
      </c>
    </row>
    <row r="19" spans="2:10">
      <c r="B19" s="118" t="s">
        <v>20</v>
      </c>
      <c r="C19" s="123">
        <v>1430</v>
      </c>
      <c r="D19" s="124">
        <v>1000</v>
      </c>
      <c r="E19" s="125">
        <f>D19-O19</f>
        <v>1000</v>
      </c>
      <c r="F19" s="122">
        <f>'Reclaim Workspace 2'!I17</f>
        <v>437.5</v>
      </c>
    </row>
    <row r="20" spans="2:10">
      <c r="B20" s="118" t="s">
        <v>21</v>
      </c>
      <c r="C20" s="123">
        <v>800</v>
      </c>
      <c r="D20" s="126">
        <v>800</v>
      </c>
      <c r="E20" s="125">
        <f>D20-O20</f>
        <v>800</v>
      </c>
      <c r="F20" s="122">
        <f>'Reclaim Workspace 2'!I18</f>
        <v>392</v>
      </c>
    </row>
    <row r="21" spans="2:10">
      <c r="B21" s="118" t="s">
        <v>22</v>
      </c>
      <c r="C21" s="123">
        <v>2000</v>
      </c>
      <c r="D21" s="124">
        <v>1250</v>
      </c>
      <c r="E21" s="125">
        <f>D21-O21</f>
        <v>1250</v>
      </c>
      <c r="F21" s="122">
        <f>'Reclaim Workspace 2'!I19</f>
        <v>589.5</v>
      </c>
    </row>
    <row r="22" spans="2:10" ht="14.25">
      <c r="B22" s="119" t="s">
        <v>23</v>
      </c>
      <c r="C22" s="127">
        <v>5502</v>
      </c>
      <c r="D22" s="128">
        <v>5525</v>
      </c>
      <c r="E22" s="125">
        <f>D22-O22</f>
        <v>5525</v>
      </c>
      <c r="F22" s="122">
        <f>'Reclaim Workspace 2'!I20</f>
        <v>5525</v>
      </c>
    </row>
    <row r="23" spans="2:10">
      <c r="B23" s="118" t="s">
        <v>24</v>
      </c>
      <c r="C23" s="123">
        <v>1020</v>
      </c>
      <c r="D23" s="124">
        <v>650</v>
      </c>
      <c r="E23" s="125">
        <f>D23-O23</f>
        <v>650</v>
      </c>
      <c r="F23" s="122">
        <f>'Reclaim Workspace 2'!I21</f>
        <v>650</v>
      </c>
    </row>
    <row r="24" spans="2:10">
      <c r="B24" s="118" t="s">
        <v>25</v>
      </c>
      <c r="C24" s="123">
        <v>6000</v>
      </c>
      <c r="D24" s="124">
        <v>4000</v>
      </c>
      <c r="E24" s="125">
        <f>D24-O24</f>
        <v>4000</v>
      </c>
      <c r="F24" s="122">
        <f>'Reclaim Workspace 2'!I22</f>
        <v>3624</v>
      </c>
    </row>
    <row r="25" spans="2:10">
      <c r="B25" s="118" t="s">
        <v>26</v>
      </c>
      <c r="C25" s="123">
        <v>1000</v>
      </c>
      <c r="D25" s="124">
        <v>810</v>
      </c>
      <c r="E25" s="125">
        <f>D25-O25</f>
        <v>810</v>
      </c>
      <c r="F25" s="122">
        <f>'Reclaim Workspace 2'!I23</f>
        <v>709</v>
      </c>
    </row>
    <row r="26" spans="2:10" ht="14.25">
      <c r="B26" s="119" t="s">
        <v>27</v>
      </c>
      <c r="C26" s="123">
        <v>658.5</v>
      </c>
      <c r="D26" s="126">
        <v>660</v>
      </c>
      <c r="E26" s="125">
        <f>D26-O26</f>
        <v>660</v>
      </c>
      <c r="F26" s="122">
        <f>'Reclaim Workspace 2'!I24</f>
        <v>577</v>
      </c>
    </row>
    <row r="27" spans="2:10" ht="14.25">
      <c r="B27" s="119" t="s">
        <v>28</v>
      </c>
      <c r="C27" s="129"/>
      <c r="D27" s="126">
        <v>200</v>
      </c>
      <c r="E27" s="125">
        <f>D27-O27</f>
        <v>200</v>
      </c>
      <c r="F27" s="122">
        <f>'Reclaim Workspace 2'!I25</f>
        <v>100</v>
      </c>
    </row>
    <row r="28" spans="2:10" ht="14.25">
      <c r="B28" s="119" t="s">
        <v>29</v>
      </c>
      <c r="C28" s="123">
        <v>300</v>
      </c>
      <c r="D28" s="126">
        <v>300</v>
      </c>
      <c r="E28" s="125">
        <f>D28-O28</f>
        <v>300</v>
      </c>
      <c r="F28" s="122">
        <f>'Reclaim Workspace 2'!I26</f>
        <v>150</v>
      </c>
    </row>
    <row r="29" spans="2:10" ht="14.25">
      <c r="B29" s="119" t="s">
        <v>30</v>
      </c>
      <c r="C29" s="123"/>
      <c r="D29" s="126">
        <v>500</v>
      </c>
      <c r="E29" s="125">
        <v>500</v>
      </c>
      <c r="F29" s="122">
        <v>250</v>
      </c>
    </row>
    <row r="30" spans="2:10">
      <c r="B30" s="118" t="s">
        <v>31</v>
      </c>
      <c r="C30" s="127">
        <v>500</v>
      </c>
      <c r="D30" s="130">
        <v>200</v>
      </c>
      <c r="E30" s="125">
        <f>D30-O30</f>
        <v>200</v>
      </c>
      <c r="F30" s="122">
        <f>'Reclaim Workspace 2'!I27</f>
        <v>87.5</v>
      </c>
    </row>
    <row r="31" spans="2:10">
      <c r="B31" s="118" t="s">
        <v>32</v>
      </c>
      <c r="C31" s="123">
        <v>2000</v>
      </c>
      <c r="D31" s="126">
        <v>2000</v>
      </c>
      <c r="E31" s="125">
        <f>D31-O31</f>
        <v>2000</v>
      </c>
      <c r="F31" s="122">
        <f>'Reclaim Workspace 2'!I28</f>
        <v>944</v>
      </c>
    </row>
    <row r="32" spans="2:10">
      <c r="B32" s="118" t="s">
        <v>33</v>
      </c>
      <c r="C32" s="123">
        <v>680</v>
      </c>
      <c r="D32" s="126">
        <v>680</v>
      </c>
      <c r="E32" s="125">
        <f>D32-O32</f>
        <v>680</v>
      </c>
      <c r="F32" s="122">
        <f>'Reclaim Workspace 2'!I29</f>
        <v>297.5</v>
      </c>
    </row>
    <row r="33" spans="1:11">
      <c r="B33" s="118" t="s">
        <v>34</v>
      </c>
      <c r="C33" s="123">
        <v>5000</v>
      </c>
      <c r="D33" s="124">
        <v>800</v>
      </c>
      <c r="E33" s="125">
        <f>D33-O33</f>
        <v>800</v>
      </c>
      <c r="F33" s="122">
        <f>'Reclaim Workspace 2'!I30</f>
        <v>350</v>
      </c>
    </row>
    <row r="34" spans="1:11">
      <c r="B34" s="118" t="s">
        <v>35</v>
      </c>
      <c r="C34" s="123">
        <v>670</v>
      </c>
      <c r="D34" s="124">
        <v>550</v>
      </c>
      <c r="E34" s="125">
        <f>D34-O34</f>
        <v>550</v>
      </c>
      <c r="F34" s="122">
        <f>'Reclaim Workspace 2'!I31</f>
        <v>275</v>
      </c>
    </row>
    <row r="35" spans="1:11">
      <c r="B35" s="118" t="s">
        <v>36</v>
      </c>
      <c r="C35" s="123">
        <v>250</v>
      </c>
      <c r="D35" s="124">
        <v>200</v>
      </c>
      <c r="E35" s="125">
        <f>D35-O35</f>
        <v>200</v>
      </c>
      <c r="F35" s="122">
        <f>'Reclaim Workspace 2'!I32</f>
        <v>226.57</v>
      </c>
    </row>
    <row r="36" spans="1:11">
      <c r="B36" s="118" t="s">
        <v>37</v>
      </c>
      <c r="C36" s="123">
        <v>560</v>
      </c>
      <c r="D36" s="124">
        <f>455-72.69</f>
        <v>382.31</v>
      </c>
      <c r="E36" s="125">
        <f>D36-O36</f>
        <v>382.31</v>
      </c>
      <c r="F36" s="122">
        <f>'Reclaim Workspace 2'!I33</f>
        <v>279.59000000000003</v>
      </c>
    </row>
    <row r="37" spans="1:11">
      <c r="B37" s="118" t="s">
        <v>38</v>
      </c>
      <c r="C37" s="123"/>
      <c r="D37" s="124"/>
      <c r="E37" s="125">
        <v>400</v>
      </c>
      <c r="F37" s="122">
        <f>'Reclaim Workspace 2'!I34</f>
        <v>400</v>
      </c>
    </row>
    <row r="38" spans="1:11">
      <c r="B38" s="118" t="s">
        <v>39</v>
      </c>
      <c r="C38" s="123">
        <v>950</v>
      </c>
      <c r="D38" s="124">
        <v>600</v>
      </c>
      <c r="E38" s="125">
        <f>D38-O38</f>
        <v>600</v>
      </c>
      <c r="F38" s="122">
        <f>'Reclaim Workspace 2'!I35</f>
        <v>266</v>
      </c>
    </row>
    <row r="39" spans="1:11" ht="14.25">
      <c r="B39" s="119" t="s">
        <v>40</v>
      </c>
      <c r="C39" s="127">
        <v>360</v>
      </c>
      <c r="D39" s="128">
        <v>360</v>
      </c>
      <c r="E39" s="125">
        <f>D39-O39</f>
        <v>360</v>
      </c>
      <c r="F39" s="122">
        <f>'Reclaim Workspace 2'!I36</f>
        <v>243.14</v>
      </c>
    </row>
    <row r="40" spans="1:11">
      <c r="B40" s="118" t="s">
        <v>41</v>
      </c>
      <c r="C40" s="123">
        <v>310</v>
      </c>
      <c r="D40" s="131">
        <v>310</v>
      </c>
      <c r="E40" s="125">
        <f>D40-O40</f>
        <v>310</v>
      </c>
      <c r="F40" s="122">
        <f>'Reclaim Workspace 2'!I37</f>
        <v>254.97</v>
      </c>
    </row>
    <row r="41" spans="1:11">
      <c r="B41" s="118" t="s">
        <v>42</v>
      </c>
      <c r="C41" s="123">
        <v>400</v>
      </c>
      <c r="D41" s="124">
        <v>330</v>
      </c>
      <c r="E41" s="125">
        <f>D41-O41</f>
        <v>330</v>
      </c>
      <c r="F41" s="122">
        <f>'Reclaim Workspace 2'!I38</f>
        <v>144.5</v>
      </c>
    </row>
    <row r="42" spans="1:11" ht="14.25">
      <c r="B42" s="119" t="s">
        <v>43</v>
      </c>
      <c r="C42" s="127">
        <v>1320</v>
      </c>
      <c r="D42" s="130">
        <v>1000</v>
      </c>
      <c r="E42" s="125">
        <f>D42-O42</f>
        <v>1000</v>
      </c>
      <c r="F42" s="122">
        <f>'Reclaim Workspace 2'!I39</f>
        <v>1000</v>
      </c>
    </row>
    <row r="43" spans="1:11">
      <c r="B43" s="118" t="s">
        <v>44</v>
      </c>
      <c r="C43" s="123">
        <v>1500</v>
      </c>
      <c r="D43" s="124">
        <v>1050</v>
      </c>
      <c r="E43" s="125">
        <f>D43-O43</f>
        <v>1050</v>
      </c>
      <c r="F43" s="122">
        <f>'Reclaim Workspace 2'!I40</f>
        <v>1090.49</v>
      </c>
    </row>
    <row r="44" spans="1:11">
      <c r="B44" s="118" t="s">
        <v>45</v>
      </c>
      <c r="C44" s="123">
        <v>1700</v>
      </c>
      <c r="D44" s="126">
        <v>1700</v>
      </c>
      <c r="E44" s="125">
        <f>D44-O44</f>
        <v>1700</v>
      </c>
      <c r="F44" s="122">
        <f>'Reclaim Workspace 2'!I41</f>
        <v>743.5</v>
      </c>
    </row>
    <row r="45" spans="1:11" ht="14.25">
      <c r="B45" s="119" t="s">
        <v>46</v>
      </c>
      <c r="C45" s="127">
        <v>1500</v>
      </c>
      <c r="D45" s="130">
        <v>500</v>
      </c>
      <c r="E45" s="125">
        <f>D45-O45</f>
        <v>500</v>
      </c>
      <c r="F45" s="122">
        <f>'Reclaim Workspace 2'!I42</f>
        <v>0</v>
      </c>
    </row>
    <row r="46" spans="1:11">
      <c r="B46" s="118" t="s">
        <v>47</v>
      </c>
      <c r="C46" s="123">
        <v>1580</v>
      </c>
      <c r="D46" s="126">
        <v>1500</v>
      </c>
      <c r="E46" s="125">
        <f>D46-O46</f>
        <v>1500</v>
      </c>
      <c r="F46" s="122">
        <f>'Reclaim Workspace 2'!I43</f>
        <v>1500</v>
      </c>
    </row>
    <row r="47" spans="1:11">
      <c r="B47" s="108">
        <f>COUNTA(B13:B46)</f>
        <v>34</v>
      </c>
      <c r="C47" s="116">
        <f>SUM(C4:C45)</f>
        <v>116430.5</v>
      </c>
      <c r="D47" s="48">
        <f>SUM(D4:D46)</f>
        <v>96307.31</v>
      </c>
      <c r="E47" s="50">
        <f>SUM(E4:E46)</f>
        <v>96459.31</v>
      </c>
      <c r="F47" s="50">
        <f>SUM(F4:F46)</f>
        <v>95000</v>
      </c>
    </row>
    <row r="48" spans="1:11">
      <c r="A48" s="15" t="s">
        <v>48</v>
      </c>
      <c r="D48" s="23"/>
      <c r="K48" s="2"/>
    </row>
    <row r="51" spans="3:6">
      <c r="D51" s="5"/>
    </row>
    <row r="56" spans="3:6">
      <c r="C56" s="13"/>
      <c r="D56" s="13"/>
    </row>
    <row r="57" spans="3:6">
      <c r="C57" s="13"/>
    </row>
    <row r="58" spans="3:6">
      <c r="C58" s="27"/>
      <c r="D58" s="2"/>
      <c r="E58" s="13"/>
      <c r="F58" s="13"/>
    </row>
    <row r="59" spans="3:6">
      <c r="C59" s="27"/>
      <c r="D59" s="2"/>
      <c r="E59" s="13"/>
      <c r="F59" s="13"/>
    </row>
    <row r="60" spans="3:6">
      <c r="C60" s="13"/>
      <c r="D60" s="27"/>
      <c r="E60" s="13"/>
      <c r="F60" s="13"/>
    </row>
    <row r="61" spans="3:6">
      <c r="C61" s="13"/>
      <c r="D61" s="13"/>
      <c r="E61" s="13"/>
      <c r="F61" s="13"/>
    </row>
    <row r="62" spans="3:6">
      <c r="C62" s="13"/>
      <c r="D62" s="13"/>
      <c r="E62" s="13"/>
      <c r="F62" s="13"/>
    </row>
    <row r="63" spans="3:6">
      <c r="E63" s="13"/>
      <c r="F63" s="13"/>
    </row>
    <row r="64" spans="3:6">
      <c r="C64" s="26"/>
      <c r="D64" s="5"/>
      <c r="E64" s="13"/>
      <c r="F64" s="13"/>
    </row>
    <row r="65" spans="3:6">
      <c r="C65" s="5"/>
      <c r="D65" s="5"/>
    </row>
    <row r="66" spans="3:6">
      <c r="C66" s="26"/>
      <c r="D66" s="13"/>
      <c r="E66" s="13"/>
      <c r="F66" s="13"/>
    </row>
    <row r="67" spans="3:6">
      <c r="C67" s="13"/>
      <c r="D67" s="13"/>
      <c r="E67" s="13"/>
      <c r="F67" s="13"/>
    </row>
    <row r="68" spans="3:6">
      <c r="C68" s="13"/>
      <c r="D68" s="13"/>
      <c r="E68" s="13"/>
      <c r="F68" s="13"/>
    </row>
    <row r="69" spans="3:6">
      <c r="C69" s="5"/>
    </row>
    <row r="70" spans="3:6">
      <c r="C70" s="5"/>
    </row>
  </sheetData>
  <conditionalFormatting sqref="C13 C14:D47 E47:F47 C4:D12">
    <cfRule type="cellIs" dxfId="6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1DFA-B7B3-4D90-A848-62C256B0AE9F}">
  <sheetPr>
    <tabColor rgb="FFFFFF00"/>
  </sheetPr>
  <dimension ref="A1:E21"/>
  <sheetViews>
    <sheetView workbookViewId="0">
      <selection activeCell="F8" sqref="F8"/>
    </sheetView>
  </sheetViews>
  <sheetFormatPr defaultRowHeight="15"/>
  <cols>
    <col min="1" max="1" width="44.7109375" customWidth="1"/>
    <col min="2" max="2" width="37.85546875" customWidth="1"/>
    <col min="5" max="5" width="10.7109375" bestFit="1" customWidth="1"/>
    <col min="8" max="8" width="18" customWidth="1"/>
    <col min="9" max="9" width="17.5703125" customWidth="1"/>
    <col min="10" max="10" width="12.5703125" bestFit="1" customWidth="1"/>
    <col min="11" max="11" width="15.5703125" customWidth="1"/>
    <col min="12" max="12" width="11.85546875" customWidth="1"/>
    <col min="13" max="13" width="15.28515625" customWidth="1"/>
    <col min="14" max="14" width="13.42578125" customWidth="1"/>
    <col min="15" max="15" width="14.85546875" bestFit="1" customWidth="1"/>
    <col min="16" max="16" width="18" customWidth="1"/>
    <col min="17" max="17" width="15.42578125" customWidth="1"/>
    <col min="18" max="18" width="11.7109375" bestFit="1" customWidth="1"/>
  </cols>
  <sheetData>
    <row r="1" spans="1:3" ht="21">
      <c r="A1" s="10" t="s">
        <v>49</v>
      </c>
      <c r="B1" s="10" t="s">
        <v>50</v>
      </c>
    </row>
    <row r="2" spans="1:3" ht="18.75">
      <c r="A2" s="7" t="s">
        <v>51</v>
      </c>
      <c r="B2" s="8">
        <v>3000</v>
      </c>
      <c r="C2" s="4"/>
    </row>
    <row r="3" spans="1:3" ht="24.75">
      <c r="A3" s="7" t="s">
        <v>52</v>
      </c>
      <c r="B3" s="8">
        <v>2500</v>
      </c>
      <c r="C3" s="6"/>
    </row>
    <row r="4" spans="1:3" ht="18.75">
      <c r="A4" s="7" t="s">
        <v>53</v>
      </c>
      <c r="B4" s="8">
        <v>2000</v>
      </c>
    </row>
    <row r="5" spans="1:3" ht="18.75">
      <c r="A5" s="7" t="s">
        <v>54</v>
      </c>
      <c r="B5" s="8">
        <v>1000</v>
      </c>
    </row>
    <row r="6" spans="1:3" ht="18.75">
      <c r="A6" s="7" t="s">
        <v>55</v>
      </c>
      <c r="B6" s="8">
        <v>1500</v>
      </c>
      <c r="C6" t="s">
        <v>56</v>
      </c>
    </row>
    <row r="7" spans="1:3" ht="18.75">
      <c r="A7" s="7" t="s">
        <v>57</v>
      </c>
      <c r="B7" s="8">
        <v>2000</v>
      </c>
    </row>
    <row r="8" spans="1:3" ht="18.75">
      <c r="A8" s="7" t="s">
        <v>58</v>
      </c>
      <c r="B8" s="8">
        <v>9000</v>
      </c>
      <c r="C8" t="s">
        <v>59</v>
      </c>
    </row>
    <row r="9" spans="1:3" ht="18.75">
      <c r="A9" s="7" t="s">
        <v>60</v>
      </c>
      <c r="B9" s="8">
        <v>2000</v>
      </c>
    </row>
    <row r="10" spans="1:3" ht="18.75">
      <c r="A10" s="7" t="s">
        <v>61</v>
      </c>
      <c r="B10" s="8">
        <v>750</v>
      </c>
    </row>
    <row r="11" spans="1:3" ht="18.75">
      <c r="A11" s="7" t="s">
        <v>62</v>
      </c>
      <c r="B11" s="8">
        <v>750</v>
      </c>
    </row>
    <row r="12" spans="1:3" ht="18.75">
      <c r="A12" s="7" t="s">
        <v>63</v>
      </c>
      <c r="B12" s="8">
        <v>250</v>
      </c>
    </row>
    <row r="13" spans="1:3" ht="18.75">
      <c r="A13" s="7" t="s">
        <v>64</v>
      </c>
      <c r="B13" s="8">
        <v>750</v>
      </c>
    </row>
    <row r="14" spans="1:3" ht="18.75">
      <c r="A14" s="7" t="s">
        <v>65</v>
      </c>
      <c r="B14" s="8">
        <v>250</v>
      </c>
    </row>
    <row r="15" spans="1:3" ht="18.75">
      <c r="A15" s="7" t="s">
        <v>66</v>
      </c>
      <c r="B15" s="8">
        <v>750</v>
      </c>
    </row>
    <row r="16" spans="1:3" ht="18.75">
      <c r="A16" s="7" t="s">
        <v>67</v>
      </c>
      <c r="B16" s="8">
        <v>350</v>
      </c>
    </row>
    <row r="17" spans="1:5" ht="18.75">
      <c r="A17" s="7" t="s">
        <v>68</v>
      </c>
      <c r="B17" s="8">
        <v>750</v>
      </c>
    </row>
    <row r="18" spans="1:5" ht="18.75">
      <c r="A18" s="7" t="s">
        <v>69</v>
      </c>
      <c r="B18" s="8">
        <v>250</v>
      </c>
    </row>
    <row r="19" spans="1:5" ht="24" customHeight="1">
      <c r="A19" s="11"/>
      <c r="B19" s="9">
        <f>SUM(B2:B18)</f>
        <v>27850</v>
      </c>
      <c r="E19" s="4"/>
    </row>
    <row r="21" spans="1:5">
      <c r="B21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FDF8-2CD2-40E5-BB24-2646ABD2BF6C}">
  <sheetPr>
    <tabColor theme="1"/>
  </sheetPr>
  <dimension ref="A1:AS57"/>
  <sheetViews>
    <sheetView workbookViewId="0">
      <pane xSplit="2" topLeftCell="H24" activePane="topRight" state="frozen"/>
      <selection pane="topRight" activeCell="I5" sqref="I5"/>
    </sheetView>
  </sheetViews>
  <sheetFormatPr defaultColWidth="8.85546875" defaultRowHeight="15"/>
  <cols>
    <col min="1" max="1" width="0.140625" customWidth="1"/>
    <col min="2" max="2" width="40.42578125" customWidth="1"/>
    <col min="3" max="3" width="20.42578125" customWidth="1"/>
    <col min="4" max="4" width="15.5703125" customWidth="1"/>
    <col min="5" max="5" width="18.42578125" customWidth="1"/>
    <col min="6" max="6" width="20" customWidth="1"/>
    <col min="7" max="7" width="3.7109375" customWidth="1"/>
    <col min="8" max="8" width="23.140625" customWidth="1"/>
    <col min="9" max="9" width="24.5703125" customWidth="1"/>
    <col min="10" max="12" width="18.85546875" customWidth="1"/>
    <col min="13" max="13" width="19.42578125" customWidth="1"/>
    <col min="14" max="14" width="11.7109375" bestFit="1" customWidth="1"/>
    <col min="15" max="15" width="20" customWidth="1"/>
    <col min="16" max="16" width="13.28515625" bestFit="1" customWidth="1"/>
    <col min="17" max="17" width="35.5703125" customWidth="1"/>
    <col min="18" max="18" width="12.28515625" customWidth="1"/>
    <col min="19" max="19" width="24.28515625" customWidth="1"/>
    <col min="20" max="20" width="11.7109375" bestFit="1" customWidth="1"/>
    <col min="21" max="21" width="24.28515625" bestFit="1" customWidth="1"/>
    <col min="22" max="24" width="10.5703125" customWidth="1"/>
    <col min="25" max="25" width="9.140625"/>
    <col min="26" max="26" width="10.140625" bestFit="1" customWidth="1"/>
    <col min="27" max="27" width="11.7109375" bestFit="1" customWidth="1"/>
    <col min="28" max="28" width="18.85546875" bestFit="1" customWidth="1"/>
    <col min="29" max="30" width="11.7109375" bestFit="1" customWidth="1"/>
    <col min="31" max="31" width="42" bestFit="1" customWidth="1"/>
    <col min="32" max="32" width="18.85546875" bestFit="1" customWidth="1"/>
    <col min="33" max="33" width="30.5703125" customWidth="1"/>
  </cols>
  <sheetData>
    <row r="1" spans="2:45" ht="12.75" hidden="1" customHeight="1"/>
    <row r="2" spans="2:45" ht="31.5" hidden="1">
      <c r="C2" s="1"/>
      <c r="D2" s="1"/>
      <c r="E2" s="1"/>
    </row>
    <row r="3" spans="2:45" ht="20.25" customHeight="1">
      <c r="B3" s="51" t="s">
        <v>0</v>
      </c>
      <c r="C3" s="52" t="s">
        <v>71</v>
      </c>
      <c r="D3" s="53" t="s">
        <v>72</v>
      </c>
      <c r="E3" s="54" t="s">
        <v>73</v>
      </c>
      <c r="F3" s="55" t="s">
        <v>74</v>
      </c>
      <c r="H3" t="s">
        <v>75</v>
      </c>
      <c r="I3" s="81" t="s">
        <v>76</v>
      </c>
    </row>
    <row r="4" spans="2:45">
      <c r="B4" s="56" t="s">
        <v>5</v>
      </c>
      <c r="C4" s="57">
        <f>AG6</f>
        <v>7725</v>
      </c>
      <c r="D4" s="58">
        <f>'[1]Spending Totals'!D4</f>
        <v>5750.85</v>
      </c>
      <c r="E4" s="59">
        <f>C4-D4</f>
        <v>1974.1499999999996</v>
      </c>
      <c r="F4" s="60">
        <f>D4/C4</f>
        <v>0.74444660194174761</v>
      </c>
      <c r="I4" s="4">
        <f>C4-H4+H45</f>
        <v>14957.74</v>
      </c>
      <c r="M4" t="s">
        <v>77</v>
      </c>
      <c r="N4" s="4">
        <f>SUM(E4,E7:E10)</f>
        <v>10725.15</v>
      </c>
    </row>
    <row r="5" spans="2:45" ht="15.75">
      <c r="B5" s="22" t="s">
        <v>7</v>
      </c>
      <c r="C5" s="57">
        <f>1103+437</f>
        <v>1540</v>
      </c>
      <c r="D5" s="58">
        <f>'[1]Spending Totals'!D5</f>
        <v>0</v>
      </c>
      <c r="E5" s="59">
        <f>C5-D5</f>
        <v>1540</v>
      </c>
      <c r="F5" s="60">
        <f t="shared" ref="F5:F43" si="0">D5/C5</f>
        <v>0</v>
      </c>
      <c r="I5" s="4">
        <f t="shared" ref="I5:I43" si="1">C5-H5</f>
        <v>1540</v>
      </c>
      <c r="AE5" s="40" t="s">
        <v>0</v>
      </c>
      <c r="AF5" s="36" t="s">
        <v>2</v>
      </c>
      <c r="AG5" s="49" t="s">
        <v>78</v>
      </c>
      <c r="AJ5" s="34"/>
      <c r="AK5" s="34"/>
      <c r="AO5" s="33"/>
      <c r="AP5" s="33"/>
    </row>
    <row r="6" spans="2:45" ht="16.5">
      <c r="B6" s="22" t="s">
        <v>9</v>
      </c>
      <c r="C6" s="57">
        <f>AG8</f>
        <v>3500</v>
      </c>
      <c r="D6" s="58">
        <f>'[1]Spending Totals'!D6</f>
        <v>1147.71</v>
      </c>
      <c r="E6" s="59">
        <f>C6-D6</f>
        <v>2352.29</v>
      </c>
      <c r="F6" s="60">
        <f t="shared" si="0"/>
        <v>0.32791714285714285</v>
      </c>
      <c r="H6" s="5"/>
      <c r="I6" s="4">
        <f t="shared" si="1"/>
        <v>3500</v>
      </c>
      <c r="M6" t="s">
        <v>79</v>
      </c>
      <c r="N6" s="4">
        <f>SUM(E11:E15)</f>
        <v>12121.55</v>
      </c>
      <c r="AE6" s="21" t="s">
        <v>5</v>
      </c>
      <c r="AF6" s="41">
        <f>725+2500+2500</f>
        <v>5725</v>
      </c>
      <c r="AG6" s="24">
        <f>AF6+2000</f>
        <v>7725</v>
      </c>
      <c r="AJ6" s="39"/>
      <c r="AK6" s="38"/>
      <c r="AO6" s="38"/>
      <c r="AP6" s="38"/>
      <c r="AQ6" s="13"/>
      <c r="AR6" s="13"/>
      <c r="AS6" s="13"/>
    </row>
    <row r="7" spans="2:45" ht="16.5">
      <c r="B7" s="22" t="s">
        <v>10</v>
      </c>
      <c r="C7" s="57">
        <f>AG9</f>
        <v>4000</v>
      </c>
      <c r="D7" s="58">
        <f>'[1]Spending Totals'!D7</f>
        <v>0</v>
      </c>
      <c r="E7" s="59">
        <f>C7-D7</f>
        <v>4000</v>
      </c>
      <c r="F7" s="60">
        <f t="shared" si="0"/>
        <v>0</v>
      </c>
      <c r="H7" s="82">
        <v>1000</v>
      </c>
      <c r="I7" s="4">
        <f>C7-H7</f>
        <v>3000</v>
      </c>
      <c r="J7" s="61"/>
      <c r="AE7" s="22" t="s">
        <v>7</v>
      </c>
      <c r="AF7" s="42">
        <f>2500-1800+73-200</f>
        <v>573</v>
      </c>
      <c r="AG7" s="24">
        <f>AF7+2302</f>
        <v>2875</v>
      </c>
      <c r="AJ7" s="39"/>
      <c r="AK7" s="38"/>
      <c r="AO7" s="38"/>
      <c r="AP7" s="38"/>
      <c r="AQ7" s="23"/>
      <c r="AR7" s="23"/>
      <c r="AS7" s="23"/>
    </row>
    <row r="8" spans="2:45" ht="16.5">
      <c r="B8" s="22" t="s">
        <v>11</v>
      </c>
      <c r="C8" s="57">
        <f>AG10</f>
        <v>2000</v>
      </c>
      <c r="D8" s="58">
        <f>44+36</f>
        <v>80</v>
      </c>
      <c r="E8" s="59">
        <f>C8-D8</f>
        <v>1920</v>
      </c>
      <c r="F8" s="60">
        <f t="shared" si="0"/>
        <v>0.04</v>
      </c>
      <c r="H8" s="82">
        <v>500</v>
      </c>
      <c r="I8" s="4">
        <f t="shared" si="1"/>
        <v>1500</v>
      </c>
      <c r="M8" t="s">
        <v>80</v>
      </c>
      <c r="N8" s="4">
        <f>SUM(E16:E43)</f>
        <v>19716.280000000002</v>
      </c>
      <c r="AE8" s="25" t="s">
        <v>9</v>
      </c>
      <c r="AF8" s="42">
        <v>3500</v>
      </c>
      <c r="AG8" s="24">
        <f>AF8</f>
        <v>3500</v>
      </c>
      <c r="AK8" s="39"/>
    </row>
    <row r="9" spans="2:45" ht="16.5">
      <c r="B9" s="22" t="s">
        <v>12</v>
      </c>
      <c r="C9" s="57">
        <f>AG11</f>
        <v>2000</v>
      </c>
      <c r="D9" s="58">
        <v>1089</v>
      </c>
      <c r="E9" s="59">
        <f>C9-D9</f>
        <v>911</v>
      </c>
      <c r="F9" s="60">
        <f t="shared" si="0"/>
        <v>0.54449999999999998</v>
      </c>
      <c r="H9" s="5"/>
      <c r="I9" s="4">
        <f t="shared" si="1"/>
        <v>2000</v>
      </c>
      <c r="AE9" s="22" t="s">
        <v>10</v>
      </c>
      <c r="AF9" s="42">
        <v>4000</v>
      </c>
      <c r="AG9" s="24">
        <f>AF9</f>
        <v>4000</v>
      </c>
      <c r="AK9" s="39"/>
    </row>
    <row r="10" spans="2:45" ht="16.5">
      <c r="B10" s="22" t="s">
        <v>13</v>
      </c>
      <c r="C10" s="57">
        <f>AG12</f>
        <v>2000</v>
      </c>
      <c r="D10" s="58">
        <v>80</v>
      </c>
      <c r="E10" s="59">
        <f>C10-D10</f>
        <v>1920</v>
      </c>
      <c r="F10" s="60">
        <f t="shared" si="0"/>
        <v>0.04</v>
      </c>
      <c r="H10" s="82">
        <v>500</v>
      </c>
      <c r="I10" s="4">
        <f t="shared" si="1"/>
        <v>1500</v>
      </c>
      <c r="AE10" s="22" t="s">
        <v>11</v>
      </c>
      <c r="AF10" s="42">
        <v>2000</v>
      </c>
      <c r="AG10" s="24">
        <f>AF10</f>
        <v>2000</v>
      </c>
      <c r="AK10" s="39"/>
      <c r="AQ10" s="13"/>
      <c r="AR10" s="13"/>
    </row>
    <row r="11" spans="2:45" ht="16.5">
      <c r="B11" s="17" t="s">
        <v>14</v>
      </c>
      <c r="C11" s="57">
        <f>AG13</f>
        <v>4400</v>
      </c>
      <c r="D11" s="58">
        <f>'[1]Spending Totals'!D11</f>
        <v>547.80999999999995</v>
      </c>
      <c r="E11" s="59">
        <f>C11-D11</f>
        <v>3852.19</v>
      </c>
      <c r="F11" s="60">
        <f t="shared" si="0"/>
        <v>0.12450227272727271</v>
      </c>
      <c r="H11" s="5"/>
      <c r="I11" s="4">
        <f t="shared" si="1"/>
        <v>4400</v>
      </c>
      <c r="AE11" s="22" t="s">
        <v>12</v>
      </c>
      <c r="AF11" s="42">
        <v>2000</v>
      </c>
      <c r="AG11" s="24">
        <f>AF11</f>
        <v>2000</v>
      </c>
      <c r="AK11" s="39"/>
      <c r="AQ11" s="12"/>
      <c r="AR11" s="14"/>
    </row>
    <row r="12" spans="2:45" ht="16.5">
      <c r="B12" s="18" t="s">
        <v>15</v>
      </c>
      <c r="C12" s="57">
        <f>AG14</f>
        <v>2580</v>
      </c>
      <c r="D12" s="58">
        <f>'[1]Spending Totals'!D12</f>
        <v>0</v>
      </c>
      <c r="E12" s="59">
        <f>C12-D12</f>
        <v>2580</v>
      </c>
      <c r="F12" s="60">
        <f t="shared" si="0"/>
        <v>0</v>
      </c>
      <c r="H12" s="5"/>
      <c r="I12" s="4">
        <f t="shared" si="1"/>
        <v>2580</v>
      </c>
      <c r="AE12" s="22" t="s">
        <v>13</v>
      </c>
      <c r="AF12" s="42">
        <v>2000</v>
      </c>
      <c r="AG12" s="24">
        <f>AF12</f>
        <v>2000</v>
      </c>
      <c r="AK12" s="39"/>
    </row>
    <row r="13" spans="2:45" ht="16.5">
      <c r="B13" s="17" t="s">
        <v>16</v>
      </c>
      <c r="C13" s="57">
        <f>AG15</f>
        <v>500</v>
      </c>
      <c r="D13" s="58">
        <f>'[1]Spending Totals'!D13</f>
        <v>16.39</v>
      </c>
      <c r="E13" s="59">
        <f>C13-D13</f>
        <v>483.61</v>
      </c>
      <c r="F13" s="60">
        <f t="shared" si="0"/>
        <v>3.2780000000000004E-2</v>
      </c>
      <c r="H13" s="62"/>
      <c r="I13" s="4">
        <f t="shared" si="1"/>
        <v>500</v>
      </c>
      <c r="J13" s="4"/>
      <c r="K13" s="4"/>
      <c r="L13" s="4"/>
      <c r="AE13" s="17" t="s">
        <v>14</v>
      </c>
      <c r="AF13" s="43">
        <v>4400</v>
      </c>
      <c r="AG13" s="24">
        <f>AF13</f>
        <v>4400</v>
      </c>
      <c r="AK13" s="39"/>
    </row>
    <row r="14" spans="2:45" ht="16.5">
      <c r="B14" s="17" t="s">
        <v>17</v>
      </c>
      <c r="C14" s="57">
        <f>AG16</f>
        <v>7100</v>
      </c>
      <c r="D14" s="58">
        <f>'[1]Spending Totals'!D14</f>
        <v>3494.25</v>
      </c>
      <c r="E14" s="59">
        <f>C14-D14</f>
        <v>3605.75</v>
      </c>
      <c r="F14" s="60">
        <f t="shared" si="0"/>
        <v>0.49214788732394366</v>
      </c>
      <c r="H14" s="63"/>
      <c r="I14" s="4">
        <f t="shared" si="1"/>
        <v>7100</v>
      </c>
      <c r="AE14" s="18" t="s">
        <v>15</v>
      </c>
      <c r="AF14" s="44">
        <v>2580</v>
      </c>
      <c r="AG14" s="24">
        <f>AF14</f>
        <v>2580</v>
      </c>
      <c r="AK14" s="39"/>
    </row>
    <row r="15" spans="2:45" ht="16.5">
      <c r="B15" s="17" t="s">
        <v>18</v>
      </c>
      <c r="C15" s="57">
        <f>AG17</f>
        <v>1600</v>
      </c>
      <c r="D15" s="58">
        <f>'[1]Spending Totals'!D15</f>
        <v>0</v>
      </c>
      <c r="E15" s="59">
        <f>C15-D15</f>
        <v>1600</v>
      </c>
      <c r="F15" s="60">
        <f t="shared" si="0"/>
        <v>0</v>
      </c>
      <c r="H15" s="63"/>
      <c r="I15" s="4">
        <f t="shared" si="1"/>
        <v>1600</v>
      </c>
      <c r="P15" t="s">
        <v>81</v>
      </c>
      <c r="AE15" s="17" t="s">
        <v>16</v>
      </c>
      <c r="AF15" s="43">
        <v>500</v>
      </c>
      <c r="AG15" s="24">
        <f>AF15</f>
        <v>500</v>
      </c>
      <c r="AK15" s="39"/>
    </row>
    <row r="16" spans="2:45" ht="16.5">
      <c r="B16" s="19" t="s">
        <v>19</v>
      </c>
      <c r="C16" s="57">
        <f>AG18</f>
        <v>787</v>
      </c>
      <c r="D16" s="58">
        <f>'[1]Spending Totals'!D16</f>
        <v>18.79</v>
      </c>
      <c r="E16" s="59">
        <f>C16-D16</f>
        <v>768.21</v>
      </c>
      <c r="F16" s="60">
        <f>D16/C16</f>
        <v>2.3875476493011433E-2</v>
      </c>
      <c r="G16" s="64"/>
      <c r="H16" s="83">
        <f>0.5*C16</f>
        <v>393.5</v>
      </c>
      <c r="I16" s="4">
        <f t="shared" si="1"/>
        <v>393.5</v>
      </c>
      <c r="K16" s="64"/>
      <c r="L16" s="64"/>
      <c r="M16" s="4">
        <f>C16*0.25</f>
        <v>196.75</v>
      </c>
      <c r="N16" s="64"/>
      <c r="O16" s="4">
        <f>M16-D16</f>
        <v>177.96</v>
      </c>
      <c r="AE16" s="17" t="s">
        <v>17</v>
      </c>
      <c r="AF16" s="45">
        <v>9100</v>
      </c>
      <c r="AG16" s="24">
        <f>AF16-2000</f>
        <v>7100</v>
      </c>
      <c r="AK16" s="39"/>
    </row>
    <row r="17" spans="2:42" ht="16.5">
      <c r="B17" s="20" t="s">
        <v>20</v>
      </c>
      <c r="C17" s="57">
        <f>AG19</f>
        <v>875</v>
      </c>
      <c r="D17" s="58">
        <f>'[1]Spending Totals'!D17</f>
        <v>0</v>
      </c>
      <c r="E17" s="59">
        <f>C17-D17</f>
        <v>875</v>
      </c>
      <c r="F17" s="60">
        <f t="shared" si="0"/>
        <v>0</v>
      </c>
      <c r="H17" s="83">
        <f>P17</f>
        <v>437.5</v>
      </c>
      <c r="I17" s="4">
        <f t="shared" si="1"/>
        <v>437.5</v>
      </c>
      <c r="M17" s="4">
        <f>C17*0.25</f>
        <v>218.75</v>
      </c>
      <c r="O17" s="4"/>
      <c r="P17" s="4">
        <f>C17/2</f>
        <v>437.5</v>
      </c>
      <c r="AE17" s="17" t="s">
        <v>18</v>
      </c>
      <c r="AF17" s="43">
        <v>1600</v>
      </c>
      <c r="AG17" s="24">
        <f>AF17</f>
        <v>1600</v>
      </c>
      <c r="AK17" s="39"/>
    </row>
    <row r="18" spans="2:42" ht="16.5">
      <c r="B18" s="20" t="s">
        <v>21</v>
      </c>
      <c r="C18" s="57">
        <f>AG20</f>
        <v>784</v>
      </c>
      <c r="D18" s="58">
        <f>'[1]Spending Totals'!D18</f>
        <v>168.27</v>
      </c>
      <c r="E18" s="59">
        <f>C18-D18</f>
        <v>615.73</v>
      </c>
      <c r="F18" s="60">
        <f t="shared" si="0"/>
        <v>0.21463010204081634</v>
      </c>
      <c r="H18" s="83">
        <f>0.5*C18</f>
        <v>392</v>
      </c>
      <c r="I18" s="4">
        <f t="shared" si="1"/>
        <v>392</v>
      </c>
      <c r="M18" s="4">
        <f>C18*0.25</f>
        <v>196</v>
      </c>
      <c r="O18" s="4">
        <f>M18-D18</f>
        <v>27.72999999999999</v>
      </c>
      <c r="AE18" s="19" t="s">
        <v>19</v>
      </c>
      <c r="AF18" s="42">
        <v>900</v>
      </c>
      <c r="AG18" s="24">
        <f>AF18-AP19</f>
        <v>787</v>
      </c>
      <c r="AK18" s="39"/>
    </row>
    <row r="19" spans="2:42" ht="16.5">
      <c r="B19" s="20" t="s">
        <v>22</v>
      </c>
      <c r="C19" s="57">
        <f>AG21</f>
        <v>1179</v>
      </c>
      <c r="D19" s="58">
        <f>'[1]Spending Totals'!D19</f>
        <v>689.55</v>
      </c>
      <c r="E19" s="59">
        <f>C19-D19</f>
        <v>489.45000000000005</v>
      </c>
      <c r="F19" s="60">
        <f t="shared" si="0"/>
        <v>0.58486005089058524</v>
      </c>
      <c r="H19" s="83">
        <f>0.5*C19</f>
        <v>589.5</v>
      </c>
      <c r="I19" s="4">
        <f t="shared" si="1"/>
        <v>589.5</v>
      </c>
      <c r="M19" s="4">
        <f>C19*0.25</f>
        <v>294.75</v>
      </c>
      <c r="O19" s="4">
        <f>M19-D19</f>
        <v>-394.79999999999995</v>
      </c>
      <c r="AE19" s="20" t="s">
        <v>20</v>
      </c>
      <c r="AF19" s="46">
        <v>1000</v>
      </c>
      <c r="AG19" s="24">
        <f>AF19-AP20</f>
        <v>875</v>
      </c>
      <c r="AJ19" s="35"/>
      <c r="AN19" s="23"/>
      <c r="AO19" s="37" t="s">
        <v>19</v>
      </c>
      <c r="AP19" s="31">
        <v>113</v>
      </c>
    </row>
    <row r="20" spans="2:42" ht="16.5">
      <c r="B20" s="19" t="s">
        <v>23</v>
      </c>
      <c r="C20" s="57">
        <f>AG22</f>
        <v>5525</v>
      </c>
      <c r="D20" s="58">
        <f>'[1]Spending Totals'!D20</f>
        <v>1096.53</v>
      </c>
      <c r="E20" s="59">
        <f>C20-D20</f>
        <v>4428.47</v>
      </c>
      <c r="F20" s="60">
        <f t="shared" si="0"/>
        <v>0.19846696832579186</v>
      </c>
      <c r="H20" s="4"/>
      <c r="I20" s="4">
        <f t="shared" si="1"/>
        <v>5525</v>
      </c>
      <c r="M20" s="4">
        <f>C20*0.25</f>
        <v>1381.25</v>
      </c>
      <c r="O20" s="4">
        <f>M20-D20</f>
        <v>284.72000000000003</v>
      </c>
      <c r="AE20" s="20" t="s">
        <v>21</v>
      </c>
      <c r="AF20" s="44">
        <v>800</v>
      </c>
      <c r="AG20" s="24">
        <f>AF20-AP21</f>
        <v>784</v>
      </c>
      <c r="AJ20" s="35"/>
      <c r="AO20" s="29" t="s">
        <v>20</v>
      </c>
      <c r="AP20" s="31">
        <v>125</v>
      </c>
    </row>
    <row r="21" spans="2:42" ht="16.5">
      <c r="B21" s="20" t="s">
        <v>24</v>
      </c>
      <c r="C21" s="57">
        <f>AG23</f>
        <v>650</v>
      </c>
      <c r="D21" s="58">
        <f>'[1]Spending Totals'!D21</f>
        <v>352.25</v>
      </c>
      <c r="E21" s="59">
        <f>C21-D21</f>
        <v>297.75</v>
      </c>
      <c r="F21" s="60">
        <f t="shared" si="0"/>
        <v>0.54192307692307695</v>
      </c>
      <c r="H21" s="4"/>
      <c r="I21" s="4">
        <f t="shared" si="1"/>
        <v>650</v>
      </c>
      <c r="M21" s="4">
        <f>C21*0.25</f>
        <v>162.5</v>
      </c>
      <c r="O21" s="4"/>
      <c r="AE21" s="20" t="s">
        <v>22</v>
      </c>
      <c r="AF21" s="46">
        <v>1250</v>
      </c>
      <c r="AG21" s="24">
        <f>AF21-AP22</f>
        <v>1179</v>
      </c>
      <c r="AJ21" s="35"/>
      <c r="AO21" s="29" t="s">
        <v>21</v>
      </c>
      <c r="AP21" s="31">
        <v>16</v>
      </c>
    </row>
    <row r="22" spans="2:42" ht="16.5">
      <c r="B22" s="20" t="s">
        <v>25</v>
      </c>
      <c r="C22" s="57">
        <f>AG24</f>
        <v>3624</v>
      </c>
      <c r="D22" s="58">
        <f>'[1]Spending Totals'!D22</f>
        <v>773.84</v>
      </c>
      <c r="E22" s="59">
        <f>C22-D22</f>
        <v>2850.16</v>
      </c>
      <c r="F22" s="60">
        <f t="shared" si="0"/>
        <v>0.21353200883002207</v>
      </c>
      <c r="H22" s="4"/>
      <c r="I22" s="4">
        <f t="shared" si="1"/>
        <v>3624</v>
      </c>
      <c r="M22" s="4">
        <f>C22*0.25</f>
        <v>906</v>
      </c>
      <c r="O22" s="4">
        <f>M22-D22</f>
        <v>132.15999999999997</v>
      </c>
      <c r="AE22" s="19" t="s">
        <v>23</v>
      </c>
      <c r="AF22" s="42">
        <v>5525</v>
      </c>
      <c r="AG22" s="24">
        <f>AF22-AP23</f>
        <v>5525</v>
      </c>
      <c r="AJ22" s="35"/>
      <c r="AO22" s="29" t="s">
        <v>22</v>
      </c>
      <c r="AP22" s="31">
        <v>71</v>
      </c>
    </row>
    <row r="23" spans="2:42" ht="16.5">
      <c r="B23" s="20" t="s">
        <v>26</v>
      </c>
      <c r="C23" s="57">
        <f>AG25</f>
        <v>709</v>
      </c>
      <c r="D23" s="58">
        <f>'[1]Spending Totals'!D23</f>
        <v>415.87</v>
      </c>
      <c r="E23" s="59">
        <f>C23-D23</f>
        <v>293.13</v>
      </c>
      <c r="F23" s="60">
        <f t="shared" si="0"/>
        <v>0.58655853314527506</v>
      </c>
      <c r="H23" s="4"/>
      <c r="I23" s="4">
        <f t="shared" si="1"/>
        <v>709</v>
      </c>
      <c r="M23" s="4">
        <f>C23*0.25</f>
        <v>177.25</v>
      </c>
      <c r="O23" s="4"/>
      <c r="AE23" s="20" t="s">
        <v>24</v>
      </c>
      <c r="AF23" s="46">
        <v>650</v>
      </c>
      <c r="AG23" s="24">
        <f>AF23-AP24</f>
        <v>650</v>
      </c>
      <c r="AJ23" s="35"/>
    </row>
    <row r="24" spans="2:42" ht="16.5">
      <c r="B24" s="19" t="s">
        <v>27</v>
      </c>
      <c r="C24" s="57">
        <f>AG26</f>
        <v>577</v>
      </c>
      <c r="D24" s="58">
        <f>'[1]Spending Totals'!D24</f>
        <v>341.49</v>
      </c>
      <c r="E24" s="59">
        <f>C24-D24</f>
        <v>235.51</v>
      </c>
      <c r="F24" s="60">
        <f t="shared" si="0"/>
        <v>0.59183708838821492</v>
      </c>
      <c r="H24" s="4"/>
      <c r="I24" s="4">
        <f t="shared" si="1"/>
        <v>577</v>
      </c>
      <c r="M24" s="4">
        <f>C24*0.25</f>
        <v>144.25</v>
      </c>
      <c r="O24" s="4">
        <f>M24-D24</f>
        <v>-197.24</v>
      </c>
      <c r="AE24" s="20" t="s">
        <v>25</v>
      </c>
      <c r="AF24" s="46">
        <v>4000</v>
      </c>
      <c r="AG24" s="24">
        <f>AF24-AP25</f>
        <v>3624</v>
      </c>
      <c r="AJ24" s="35"/>
    </row>
    <row r="25" spans="2:42" ht="16.5">
      <c r="B25" s="19" t="str">
        <f>AE27</f>
        <v>Dance Club</v>
      </c>
      <c r="C25" s="57">
        <f>AG27</f>
        <v>200</v>
      </c>
      <c r="D25" s="58">
        <f>'[1]Spending Totals'!D25</f>
        <v>0</v>
      </c>
      <c r="E25" s="59">
        <f t="shared" ref="E25:E26" si="2">C25-D25</f>
        <v>200</v>
      </c>
      <c r="F25" s="60">
        <f t="shared" si="0"/>
        <v>0</v>
      </c>
      <c r="H25" s="83">
        <f>P25</f>
        <v>100</v>
      </c>
      <c r="I25" s="4">
        <f t="shared" si="1"/>
        <v>100</v>
      </c>
      <c r="M25" s="4">
        <f>C25*0.25</f>
        <v>50</v>
      </c>
      <c r="O25" s="4"/>
      <c r="P25" s="4">
        <f>C25/2</f>
        <v>100</v>
      </c>
      <c r="AE25" s="20" t="s">
        <v>26</v>
      </c>
      <c r="AF25" s="46">
        <v>810</v>
      </c>
      <c r="AG25" s="24">
        <f>AF25-AP26</f>
        <v>709</v>
      </c>
      <c r="AJ25" s="35"/>
      <c r="AO25" s="29" t="s">
        <v>25</v>
      </c>
      <c r="AP25" s="31">
        <v>376</v>
      </c>
    </row>
    <row r="26" spans="2:42" ht="16.5">
      <c r="B26" s="19" t="str">
        <f>AE28</f>
        <v>Democrats Club</v>
      </c>
      <c r="C26" s="57">
        <f>AG28</f>
        <v>300</v>
      </c>
      <c r="D26" s="58">
        <f>'[1]Spending Totals'!D26</f>
        <v>0</v>
      </c>
      <c r="E26" s="59">
        <f t="shared" si="2"/>
        <v>300</v>
      </c>
      <c r="F26" s="60">
        <f t="shared" si="0"/>
        <v>0</v>
      </c>
      <c r="G26" s="4"/>
      <c r="H26" s="83">
        <f>P26</f>
        <v>150</v>
      </c>
      <c r="I26" s="4">
        <f t="shared" si="1"/>
        <v>150</v>
      </c>
      <c r="K26" s="4"/>
      <c r="L26" s="4"/>
      <c r="M26" s="4">
        <f>C26*0.25</f>
        <v>75</v>
      </c>
      <c r="O26" s="4"/>
      <c r="P26" s="4">
        <f>C26/2</f>
        <v>150</v>
      </c>
      <c r="AE26" s="19" t="s">
        <v>27</v>
      </c>
      <c r="AF26" s="44">
        <v>660</v>
      </c>
      <c r="AG26" s="24">
        <f>AF26-AP27</f>
        <v>577</v>
      </c>
      <c r="AJ26" s="35"/>
      <c r="AO26" s="29" t="s">
        <v>26</v>
      </c>
      <c r="AP26" s="31">
        <v>101</v>
      </c>
    </row>
    <row r="27" spans="2:42" ht="16.5">
      <c r="B27" s="19" t="str">
        <f>AE29</f>
        <v>French Club</v>
      </c>
      <c r="C27" s="57">
        <f>AG29</f>
        <v>175</v>
      </c>
      <c r="D27" s="58">
        <f>'[1]Spending Totals'!D27</f>
        <v>0</v>
      </c>
      <c r="E27" s="59">
        <f>C27-D27</f>
        <v>175</v>
      </c>
      <c r="F27" s="60">
        <f t="shared" si="0"/>
        <v>0</v>
      </c>
      <c r="H27" s="83">
        <f>P27</f>
        <v>87.5</v>
      </c>
      <c r="I27" s="4">
        <f t="shared" si="1"/>
        <v>87.5</v>
      </c>
      <c r="M27" s="4">
        <f>C27*0.25</f>
        <v>43.75</v>
      </c>
      <c r="O27" s="4"/>
      <c r="P27" s="4">
        <f>C27/2</f>
        <v>87.5</v>
      </c>
      <c r="AE27" s="19" t="s">
        <v>28</v>
      </c>
      <c r="AF27" s="44">
        <v>200</v>
      </c>
      <c r="AG27" s="24">
        <f>AF27-AP28</f>
        <v>200</v>
      </c>
      <c r="AJ27" s="35"/>
      <c r="AO27" s="28" t="s">
        <v>27</v>
      </c>
      <c r="AP27" s="31">
        <v>83</v>
      </c>
    </row>
    <row r="28" spans="2:42" ht="16.5">
      <c r="B28" s="19" t="str">
        <f>AE30</f>
        <v>Gordon Outdoors</v>
      </c>
      <c r="C28" s="57">
        <f>AG30</f>
        <v>1888</v>
      </c>
      <c r="D28" s="58">
        <f>'[1]Spending Totals'!D28</f>
        <v>0</v>
      </c>
      <c r="E28" s="59">
        <f>C28-D28</f>
        <v>1888</v>
      </c>
      <c r="F28" s="60">
        <f t="shared" si="0"/>
        <v>0</v>
      </c>
      <c r="H28" s="83">
        <f>0.5*C28</f>
        <v>944</v>
      </c>
      <c r="I28" s="4">
        <f t="shared" si="1"/>
        <v>944</v>
      </c>
      <c r="M28" s="4">
        <f>C28*0.25</f>
        <v>472</v>
      </c>
      <c r="O28" s="4">
        <f>M28-D28</f>
        <v>472</v>
      </c>
      <c r="AE28" s="19" t="s">
        <v>29</v>
      </c>
      <c r="AF28" s="44">
        <v>300</v>
      </c>
      <c r="AG28" s="24">
        <f>AF28-AP29</f>
        <v>300</v>
      </c>
      <c r="AJ28" s="35"/>
    </row>
    <row r="29" spans="2:42" ht="16.5">
      <c r="B29" s="19" t="str">
        <f>AE31</f>
        <v>IJM</v>
      </c>
      <c r="C29" s="57">
        <f>AG31</f>
        <v>595</v>
      </c>
      <c r="D29" s="58">
        <f>'[1]Spending Totals'!D29</f>
        <v>626.79999999999995</v>
      </c>
      <c r="E29" s="59">
        <f>C29-D29</f>
        <v>-31.799999999999955</v>
      </c>
      <c r="F29" s="60">
        <f t="shared" si="0"/>
        <v>1.0534453781512605</v>
      </c>
      <c r="H29" s="83">
        <f>P29</f>
        <v>297.5</v>
      </c>
      <c r="I29" s="4">
        <f t="shared" si="1"/>
        <v>297.5</v>
      </c>
      <c r="M29" s="4">
        <f>C29*0.25</f>
        <v>148.75</v>
      </c>
      <c r="O29" s="4"/>
      <c r="P29" s="4">
        <f>C29/2</f>
        <v>297.5</v>
      </c>
      <c r="AE29" s="20" t="s">
        <v>31</v>
      </c>
      <c r="AF29" s="43">
        <v>200</v>
      </c>
      <c r="AG29" s="24">
        <f>AF29-AP30</f>
        <v>175</v>
      </c>
      <c r="AJ29" s="35"/>
    </row>
    <row r="30" spans="2:42" ht="16.5">
      <c r="B30" s="19" t="str">
        <f>AE32</f>
        <v>Jack Augustine Society</v>
      </c>
      <c r="C30" s="57">
        <f>AG32</f>
        <v>700</v>
      </c>
      <c r="D30" s="58">
        <f>'[1]Spending Totals'!D30</f>
        <v>0</v>
      </c>
      <c r="E30" s="59">
        <f>C30-D30</f>
        <v>700</v>
      </c>
      <c r="F30" s="60">
        <f t="shared" si="0"/>
        <v>0</v>
      </c>
      <c r="H30" s="83">
        <f>P30</f>
        <v>350</v>
      </c>
      <c r="I30" s="4">
        <f t="shared" si="1"/>
        <v>350</v>
      </c>
      <c r="M30" s="4">
        <f>C30*0.25</f>
        <v>175</v>
      </c>
      <c r="O30" s="4"/>
      <c r="P30" s="4">
        <f>C30/2</f>
        <v>350</v>
      </c>
      <c r="AE30" s="20" t="s">
        <v>32</v>
      </c>
      <c r="AF30" s="44">
        <v>2000</v>
      </c>
      <c r="AG30" s="24">
        <f>AF30-AP31</f>
        <v>1888</v>
      </c>
      <c r="AJ30" s="35"/>
      <c r="AO30" s="29" t="s">
        <v>31</v>
      </c>
      <c r="AP30" s="31">
        <v>25</v>
      </c>
    </row>
    <row r="31" spans="2:42" ht="16.5">
      <c r="B31" s="19" t="str">
        <f>AE33</f>
        <v>Law Club</v>
      </c>
      <c r="C31" s="57">
        <f>AG33</f>
        <v>550</v>
      </c>
      <c r="D31" s="58">
        <f>'[1]Spending Totals'!D31</f>
        <v>0</v>
      </c>
      <c r="E31" s="59">
        <f>C31-D31</f>
        <v>550</v>
      </c>
      <c r="F31" s="60">
        <f t="shared" si="0"/>
        <v>0</v>
      </c>
      <c r="H31" s="83">
        <f>0.5*C31</f>
        <v>275</v>
      </c>
      <c r="I31" s="4">
        <f t="shared" si="1"/>
        <v>275</v>
      </c>
      <c r="M31" s="4">
        <f>C31*0.25</f>
        <v>137.5</v>
      </c>
      <c r="O31" s="4"/>
      <c r="P31" s="4">
        <f>C31/2</f>
        <v>275</v>
      </c>
      <c r="AE31" s="20" t="s">
        <v>33</v>
      </c>
      <c r="AF31" s="44">
        <v>680</v>
      </c>
      <c r="AG31" s="24">
        <f>AF31-AP32</f>
        <v>595</v>
      </c>
      <c r="AJ31" s="35"/>
      <c r="AO31" s="29" t="s">
        <v>32</v>
      </c>
      <c r="AP31" s="31">
        <v>112</v>
      </c>
    </row>
    <row r="32" spans="2:42" ht="15.75">
      <c r="B32" s="19" t="str">
        <f>AE35</f>
        <v>Linguistics</v>
      </c>
      <c r="C32" s="57">
        <f>AG35</f>
        <v>196</v>
      </c>
      <c r="D32" s="58">
        <f>'[1]Spending Totals'!D32</f>
        <v>159.13999999999999</v>
      </c>
      <c r="E32" s="59">
        <f>C32-D32</f>
        <v>36.860000000000014</v>
      </c>
      <c r="F32" s="60">
        <f t="shared" si="0"/>
        <v>0.81193877551020399</v>
      </c>
      <c r="H32" s="84">
        <f>(((C32/2)-D32)/2)</f>
        <v>-30.569999999999993</v>
      </c>
      <c r="I32" s="4">
        <f t="shared" si="1"/>
        <v>226.57</v>
      </c>
      <c r="M32" s="4">
        <f>C32*0.25</f>
        <v>49</v>
      </c>
      <c r="O32" s="4"/>
      <c r="AE32" s="20" t="s">
        <v>34</v>
      </c>
      <c r="AF32" s="46">
        <v>800</v>
      </c>
      <c r="AG32" s="24">
        <f>AF32-AP33</f>
        <v>700</v>
      </c>
      <c r="AJ32" s="31"/>
      <c r="AO32" s="29" t="s">
        <v>33</v>
      </c>
      <c r="AP32" s="31">
        <v>85</v>
      </c>
    </row>
    <row r="33" spans="1:42" ht="15.75">
      <c r="B33" s="19" t="str">
        <f>AE36</f>
        <v>Love for Our Elders</v>
      </c>
      <c r="C33" s="57">
        <f>325</f>
        <v>325</v>
      </c>
      <c r="D33" s="58">
        <f>'[1]Spending Totals'!D33</f>
        <v>71.680000000000007</v>
      </c>
      <c r="E33" s="59">
        <f>C33-D33</f>
        <v>253.32</v>
      </c>
      <c r="F33" s="60">
        <f t="shared" si="0"/>
        <v>0.22055384615384618</v>
      </c>
      <c r="H33" s="84">
        <f>((0.5-F33)/2)*C33</f>
        <v>45.409999999999989</v>
      </c>
      <c r="I33" s="4">
        <f t="shared" si="1"/>
        <v>279.59000000000003</v>
      </c>
      <c r="M33" s="4">
        <f>C33*0.25</f>
        <v>81.25</v>
      </c>
      <c r="O33" s="4"/>
      <c r="P33" s="4">
        <f>C33/2</f>
        <v>162.5</v>
      </c>
      <c r="AE33" s="20" t="s">
        <v>35</v>
      </c>
      <c r="AF33" s="46">
        <v>550</v>
      </c>
      <c r="AG33" s="24">
        <f>AF33-AP35</f>
        <v>550</v>
      </c>
      <c r="AO33" s="29" t="s">
        <v>34</v>
      </c>
      <c r="AP33" s="32">
        <v>100</v>
      </c>
    </row>
    <row r="34" spans="1:42" ht="15.75">
      <c r="B34" s="19" t="s">
        <v>38</v>
      </c>
      <c r="C34" s="57">
        <v>400</v>
      </c>
      <c r="D34" s="58"/>
      <c r="E34" s="59"/>
      <c r="F34" s="60"/>
      <c r="H34" s="4"/>
      <c r="I34" s="4">
        <f t="shared" si="1"/>
        <v>400</v>
      </c>
      <c r="M34" s="4"/>
      <c r="O34" s="4"/>
      <c r="P34" s="4"/>
      <c r="AE34" s="20"/>
      <c r="AF34" s="46"/>
      <c r="AG34" s="24"/>
      <c r="AO34" s="65"/>
      <c r="AP34" s="32"/>
    </row>
    <row r="35" spans="1:42">
      <c r="B35" s="19" t="str">
        <f>AE37</f>
        <v>Physics Club</v>
      </c>
      <c r="C35" s="57">
        <f>AG37</f>
        <v>532</v>
      </c>
      <c r="D35" s="58">
        <f>'[1]Spending Totals'!D35</f>
        <v>201.52</v>
      </c>
      <c r="E35" s="59">
        <f>C35-D35</f>
        <v>330.48</v>
      </c>
      <c r="F35" s="60">
        <f t="shared" si="0"/>
        <v>0.37879699248120302</v>
      </c>
      <c r="H35" s="83">
        <f>0.5*C35</f>
        <v>266</v>
      </c>
      <c r="I35" s="4">
        <f t="shared" si="1"/>
        <v>266</v>
      </c>
      <c r="M35" s="4">
        <f>C35*0.25</f>
        <v>133</v>
      </c>
      <c r="O35" s="4">
        <f>M35-D35</f>
        <v>-68.52000000000001</v>
      </c>
      <c r="AE35" s="20" t="s">
        <v>36</v>
      </c>
      <c r="AF35" s="46">
        <v>200</v>
      </c>
      <c r="AG35" s="24">
        <f>AF35-AP36</f>
        <v>196</v>
      </c>
    </row>
    <row r="36" spans="1:42" ht="15.75">
      <c r="B36" s="19" t="str">
        <f>AE38</f>
        <v>Pyschology Club</v>
      </c>
      <c r="C36" s="57">
        <f>AG38</f>
        <v>315</v>
      </c>
      <c r="D36" s="58">
        <f>'[1]Spending Totals'!D36</f>
        <v>13.78</v>
      </c>
      <c r="E36" s="59">
        <f>C36-D36</f>
        <v>301.22000000000003</v>
      </c>
      <c r="F36" s="60">
        <f t="shared" si="0"/>
        <v>4.3746031746031741E-2</v>
      </c>
      <c r="H36" s="84">
        <f>((0.5-F36)/2)*C36</f>
        <v>71.86</v>
      </c>
      <c r="I36" s="4">
        <f t="shared" si="1"/>
        <v>243.14</v>
      </c>
      <c r="M36" s="4">
        <f>C36*0.25</f>
        <v>78.75</v>
      </c>
      <c r="O36" s="4"/>
      <c r="AE36" s="20" t="s">
        <v>37</v>
      </c>
      <c r="AF36" s="46">
        <f>455-72.69</f>
        <v>382.31</v>
      </c>
      <c r="AG36" s="24">
        <f>AF36-AP37</f>
        <v>325.31</v>
      </c>
      <c r="AO36" s="29" t="s">
        <v>36</v>
      </c>
      <c r="AP36" s="32">
        <v>4</v>
      </c>
    </row>
    <row r="37" spans="1:42" ht="15.75">
      <c r="B37" s="19" t="str">
        <f>AE39</f>
        <v>Republicans Club</v>
      </c>
      <c r="C37" s="57">
        <f>AG39</f>
        <v>271</v>
      </c>
      <c r="D37" s="58">
        <f>'[1]Spending Totals'!D37</f>
        <v>103.44</v>
      </c>
      <c r="E37" s="59">
        <f>C37-D37</f>
        <v>167.56</v>
      </c>
      <c r="F37" s="60">
        <f t="shared" si="0"/>
        <v>0.38169741697416976</v>
      </c>
      <c r="H37" s="84">
        <f>((0.5-F37)/2)*C37</f>
        <v>16.029999999999998</v>
      </c>
      <c r="I37" s="4">
        <f t="shared" si="1"/>
        <v>254.97</v>
      </c>
      <c r="M37" s="4">
        <f>C37*0.25</f>
        <v>67.75</v>
      </c>
      <c r="O37" s="4"/>
      <c r="AE37" s="20" t="s">
        <v>39</v>
      </c>
      <c r="AF37" s="46">
        <v>600</v>
      </c>
      <c r="AG37" s="24">
        <f>AF37-AP38</f>
        <v>532</v>
      </c>
      <c r="AO37" s="29" t="s">
        <v>37</v>
      </c>
      <c r="AP37" s="32">
        <v>57</v>
      </c>
    </row>
    <row r="38" spans="1:42" ht="15.75">
      <c r="B38" s="19" t="str">
        <f>AE40</f>
        <v>Social Welfare</v>
      </c>
      <c r="C38" s="57">
        <f>AG40</f>
        <v>289</v>
      </c>
      <c r="D38" s="58">
        <f>'[1]Spending Totals'!D38</f>
        <v>114.21</v>
      </c>
      <c r="E38" s="59">
        <f>C38-D38</f>
        <v>174.79000000000002</v>
      </c>
      <c r="F38" s="60">
        <f t="shared" si="0"/>
        <v>0.3951903114186851</v>
      </c>
      <c r="H38" s="83">
        <f>0.5*C38</f>
        <v>144.5</v>
      </c>
      <c r="I38" s="4">
        <f t="shared" si="1"/>
        <v>144.5</v>
      </c>
      <c r="M38" s="4">
        <f>C38*0.25</f>
        <v>72.25</v>
      </c>
      <c r="O38" s="4">
        <f>M38-D38</f>
        <v>-41.959999999999994</v>
      </c>
      <c r="AE38" s="19" t="s">
        <v>40</v>
      </c>
      <c r="AF38" s="42">
        <v>360</v>
      </c>
      <c r="AG38" s="24">
        <f>AF38-AP39</f>
        <v>315</v>
      </c>
      <c r="AO38" s="29" t="s">
        <v>39</v>
      </c>
      <c r="AP38" s="32">
        <v>68</v>
      </c>
    </row>
    <row r="39" spans="1:42" ht="15.75">
      <c r="B39" s="19" t="str">
        <f>AE41</f>
        <v>Sweaty Tooth Madmen</v>
      </c>
      <c r="C39" s="57">
        <f>AG41</f>
        <v>1000</v>
      </c>
      <c r="D39" s="58">
        <f>'[1]Spending Totals'!D39</f>
        <v>152.16999999999999</v>
      </c>
      <c r="E39" s="59">
        <f>C39-D39</f>
        <v>847.83</v>
      </c>
      <c r="F39" s="60">
        <f t="shared" si="0"/>
        <v>0.15217</v>
      </c>
      <c r="H39" s="4"/>
      <c r="I39" s="4">
        <f t="shared" si="1"/>
        <v>1000</v>
      </c>
      <c r="M39" s="4">
        <f>C39*0.25</f>
        <v>250</v>
      </c>
      <c r="O39" s="4"/>
      <c r="AE39" s="20" t="s">
        <v>41</v>
      </c>
      <c r="AF39" s="47">
        <v>310</v>
      </c>
      <c r="AG39" s="24">
        <f>AF39-AP40</f>
        <v>271</v>
      </c>
      <c r="AO39" s="28" t="s">
        <v>40</v>
      </c>
      <c r="AP39" s="32">
        <v>45</v>
      </c>
    </row>
    <row r="40" spans="1:42" ht="15.75">
      <c r="B40" s="19" t="str">
        <f>AE42</f>
        <v>TableTop Club</v>
      </c>
      <c r="C40" s="57">
        <f>AG42</f>
        <v>1050</v>
      </c>
      <c r="D40" s="58">
        <f>'[1]Spending Totals'!D40</f>
        <v>605.98</v>
      </c>
      <c r="E40" s="59">
        <f>C40-D40</f>
        <v>444.02</v>
      </c>
      <c r="F40" s="60">
        <f t="shared" si="0"/>
        <v>0.57712380952380959</v>
      </c>
      <c r="H40" s="84">
        <f>((0.5-F40)/2)*C40</f>
        <v>-40.490000000000038</v>
      </c>
      <c r="I40" s="4">
        <f t="shared" si="1"/>
        <v>1090.49</v>
      </c>
      <c r="M40" s="4">
        <f>C40*0.25</f>
        <v>262.5</v>
      </c>
      <c r="O40" s="4">
        <f>M40-D40</f>
        <v>-343.48</v>
      </c>
      <c r="AE40" s="20" t="s">
        <v>42</v>
      </c>
      <c r="AF40" s="46">
        <v>330</v>
      </c>
      <c r="AG40" s="24">
        <f>AF40-AP41</f>
        <v>289</v>
      </c>
      <c r="AO40" s="29" t="s">
        <v>41</v>
      </c>
      <c r="AP40" s="32">
        <v>39</v>
      </c>
    </row>
    <row r="41" spans="1:42" ht="15.75">
      <c r="B41" s="19" t="str">
        <f>AE43</f>
        <v>Tea Club</v>
      </c>
      <c r="C41" s="57">
        <f>AG43</f>
        <v>1487</v>
      </c>
      <c r="D41" s="58">
        <f>'[1]Spending Totals'!D41</f>
        <v>461.41</v>
      </c>
      <c r="E41" s="59">
        <f>C41-D41</f>
        <v>1025.5899999999999</v>
      </c>
      <c r="F41" s="60">
        <f t="shared" si="0"/>
        <v>0.31029589778076666</v>
      </c>
      <c r="H41" s="83">
        <f>P41</f>
        <v>743.5</v>
      </c>
      <c r="I41" s="4">
        <f t="shared" si="1"/>
        <v>743.5</v>
      </c>
      <c r="M41" s="4">
        <f>C41*0.25</f>
        <v>371.75</v>
      </c>
      <c r="O41" s="4"/>
      <c r="P41" s="4">
        <f>C41/2</f>
        <v>743.5</v>
      </c>
      <c r="AE41" s="19" t="s">
        <v>43</v>
      </c>
      <c r="AF41" s="43">
        <v>1000</v>
      </c>
      <c r="AG41" s="24">
        <f>AF41-AP42</f>
        <v>1000</v>
      </c>
      <c r="AO41" s="29" t="s">
        <v>42</v>
      </c>
      <c r="AP41" s="32">
        <v>41</v>
      </c>
    </row>
    <row r="42" spans="1:42">
      <c r="B42" s="19" t="str">
        <f>AE44</f>
        <v>The Common Exchange</v>
      </c>
      <c r="C42" s="57"/>
      <c r="D42" s="58"/>
      <c r="E42" s="59"/>
      <c r="F42" s="60"/>
      <c r="H42" s="4"/>
      <c r="I42" s="4">
        <f t="shared" si="1"/>
        <v>0</v>
      </c>
      <c r="M42" s="4">
        <f>C42*0.25</f>
        <v>0</v>
      </c>
      <c r="O42" s="4"/>
      <c r="AE42" s="20" t="s">
        <v>44</v>
      </c>
      <c r="AF42" s="46">
        <v>1050</v>
      </c>
      <c r="AG42" s="24">
        <f>AF42-AP43</f>
        <v>1050</v>
      </c>
    </row>
    <row r="43" spans="1:42">
      <c r="B43" s="19" t="str">
        <f>AE45</f>
        <v>The Lens (photo club)</v>
      </c>
      <c r="C43" s="57">
        <f>AG45</f>
        <v>1500</v>
      </c>
      <c r="D43" s="58">
        <f>'[1]Spending Totals'!D42</f>
        <v>0</v>
      </c>
      <c r="E43" s="59">
        <f t="shared" ref="E43" si="3">C43-D43</f>
        <v>1500</v>
      </c>
      <c r="F43" s="60">
        <f t="shared" si="0"/>
        <v>0</v>
      </c>
      <c r="H43" s="4"/>
      <c r="I43" s="4">
        <f t="shared" si="1"/>
        <v>1500</v>
      </c>
      <c r="M43" s="4">
        <f>C43*0.25</f>
        <v>375</v>
      </c>
      <c r="O43" s="4"/>
      <c r="AE43" s="20" t="s">
        <v>45</v>
      </c>
      <c r="AF43" s="44">
        <v>1700</v>
      </c>
      <c r="AG43" s="24">
        <f>AF43-AP44</f>
        <v>1487</v>
      </c>
    </row>
    <row r="44" spans="1:42" ht="15.75">
      <c r="A44" s="15" t="s">
        <v>48</v>
      </c>
      <c r="B44" s="16"/>
      <c r="C44" s="66">
        <f>SUM(C4:C43)</f>
        <v>65428</v>
      </c>
      <c r="D44" s="67">
        <f>SUM(D4:D43)</f>
        <v>18572.729999999996</v>
      </c>
      <c r="E44" s="68">
        <f>SUM(E4:E42)</f>
        <v>44955.26999999999</v>
      </c>
      <c r="F44" s="69">
        <f>D44/C44</f>
        <v>0.28386516476126422</v>
      </c>
      <c r="M44" s="4"/>
      <c r="AE44" s="19" t="s">
        <v>46</v>
      </c>
      <c r="AF44" s="43">
        <v>500</v>
      </c>
      <c r="AG44" s="24">
        <f>AF44-AP45</f>
        <v>437</v>
      </c>
      <c r="AO44" s="29" t="s">
        <v>45</v>
      </c>
      <c r="AP44" s="32">
        <v>213</v>
      </c>
    </row>
    <row r="45" spans="1:42" ht="15.75">
      <c r="H45" s="70">
        <f>SUM(H16:H43)+SUM(H7:H10)</f>
        <v>7232.74</v>
      </c>
      <c r="I45" s="70">
        <f>SUM(I4:I43)</f>
        <v>65427.999999999993</v>
      </c>
      <c r="AE45" s="20" t="s">
        <v>47</v>
      </c>
      <c r="AF45" s="44">
        <v>1500</v>
      </c>
      <c r="AG45" s="24">
        <f>AF45-AP46</f>
        <v>1500</v>
      </c>
      <c r="AO45" s="28" t="s">
        <v>46</v>
      </c>
      <c r="AP45" s="32">
        <v>63</v>
      </c>
    </row>
    <row r="46" spans="1:42">
      <c r="F46" s="4"/>
      <c r="I46" s="70"/>
      <c r="O46" s="4"/>
      <c r="AE46" s="20" t="s">
        <v>82</v>
      </c>
      <c r="AF46" s="71">
        <v>400</v>
      </c>
      <c r="AG46" s="24">
        <f>AF46-AP47</f>
        <v>350</v>
      </c>
    </row>
    <row r="47" spans="1:42" ht="15.75">
      <c r="AE47" s="16">
        <f>COUNTA(AE13:AE46)</f>
        <v>33</v>
      </c>
      <c r="AF47" s="48">
        <f>SUM(AF6:AF46)</f>
        <v>66635.31</v>
      </c>
      <c r="AG47" s="50">
        <f>SUM(AG6:AG46)</f>
        <v>67150.31</v>
      </c>
      <c r="AO47" s="29" t="s">
        <v>82</v>
      </c>
      <c r="AP47" s="32">
        <v>50</v>
      </c>
    </row>
    <row r="48" spans="1:42" ht="15.75">
      <c r="C48" s="5"/>
      <c r="D48" s="5"/>
      <c r="F48" s="4"/>
      <c r="I48" s="72" t="s">
        <v>83</v>
      </c>
      <c r="J48" s="4">
        <f>H45</f>
        <v>7232.74</v>
      </c>
      <c r="AF48" s="23" t="s">
        <v>84</v>
      </c>
      <c r="AL48" s="2"/>
      <c r="AO48" s="30" t="s">
        <v>17</v>
      </c>
      <c r="AP48" s="32">
        <v>2000</v>
      </c>
    </row>
    <row r="49" spans="2:44" ht="16.5">
      <c r="B49" s="73" t="s">
        <v>6</v>
      </c>
      <c r="C49" s="74">
        <v>27850</v>
      </c>
      <c r="D49" s="74">
        <v>27850</v>
      </c>
      <c r="E49" s="75">
        <f>C49-D49</f>
        <v>0</v>
      </c>
      <c r="F49" s="76">
        <f>D49/C49</f>
        <v>1</v>
      </c>
      <c r="I49" t="s">
        <v>85</v>
      </c>
      <c r="J49" s="3">
        <f>J48/C44</f>
        <v>0.11054502659411872</v>
      </c>
      <c r="AO49" s="35"/>
      <c r="AP49" s="35"/>
    </row>
    <row r="50" spans="2:44" ht="16.5">
      <c r="B50" s="73" t="s">
        <v>8</v>
      </c>
      <c r="C50" s="74">
        <v>1722</v>
      </c>
      <c r="D50" s="74">
        <v>1722</v>
      </c>
      <c r="E50" s="75">
        <v>0</v>
      </c>
      <c r="F50" s="76">
        <f>D50/C50</f>
        <v>1</v>
      </c>
      <c r="AO50" s="39"/>
      <c r="AP50" s="38"/>
    </row>
    <row r="51" spans="2:44" ht="16.5">
      <c r="AO51" s="39"/>
      <c r="AP51" s="38"/>
    </row>
    <row r="52" spans="2:44">
      <c r="AR52" s="5"/>
    </row>
    <row r="54" spans="2:44">
      <c r="B54" t="s">
        <v>86</v>
      </c>
      <c r="C54" s="4">
        <f>C44+C49+C50</f>
        <v>95000</v>
      </c>
    </row>
    <row r="57" spans="2:44">
      <c r="C57" s="5"/>
      <c r="D57" s="5"/>
      <c r="E57" s="4"/>
      <c r="G57" s="4"/>
      <c r="H57" s="4"/>
      <c r="I57" s="4"/>
      <c r="J57" s="4"/>
      <c r="K57" s="4"/>
      <c r="L57" s="4"/>
    </row>
  </sheetData>
  <sheetProtection sheet="1" objects="1" scenarios="1"/>
  <conditionalFormatting sqref="C4:D4 D44:F44 AF6:AF12 C49:F50 D5:D43 C5:C44">
    <cfRule type="cellIs" dxfId="5" priority="6" operator="lessThan">
      <formula>0</formula>
    </cfRule>
  </conditionalFormatting>
  <conditionalFormatting sqref="E49:E50">
    <cfRule type="cellIs" dxfId="4" priority="5" operator="greaterThan">
      <formula>0</formula>
    </cfRule>
  </conditionalFormatting>
  <conditionalFormatting sqref="F49:F50">
    <cfRule type="cellIs" dxfId="3" priority="4" operator="lessThan">
      <formula>0.4</formula>
    </cfRule>
  </conditionalFormatting>
  <conditionalFormatting sqref="F4:F43">
    <cfRule type="cellIs" dxfId="2" priority="1" operator="greaterThan">
      <formula>0.5</formula>
    </cfRule>
  </conditionalFormatting>
  <conditionalFormatting sqref="AG47 AF14:AF47">
    <cfRule type="cellIs" dxfId="1" priority="3" operator="lessThan">
      <formula>0</formula>
    </cfRule>
  </conditionalFormatting>
  <conditionalFormatting sqref="F4:F43">
    <cfRule type="cellIs" dxfId="0" priority="2" operator="greaterThan">
      <formula>0.25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2FAFD6341AC4F87E3F3345515CDFA" ma:contentTypeVersion="6" ma:contentTypeDescription="Create a new document." ma:contentTypeScope="" ma:versionID="8e134db425567ca50168d189456b0570">
  <xsd:schema xmlns:xsd="http://www.w3.org/2001/XMLSchema" xmlns:xs="http://www.w3.org/2001/XMLSchema" xmlns:p="http://schemas.microsoft.com/office/2006/metadata/properties" xmlns:ns2="313bc950-2088-4c2b-bffa-7bed24243d17" xmlns:ns3="16a4d2b2-7596-4309-b443-8e8de8cf8b50" targetNamespace="http://schemas.microsoft.com/office/2006/metadata/properties" ma:root="true" ma:fieldsID="3da7ce585671a13d6610169b69175843" ns2:_="" ns3:_="">
    <xsd:import namespace="313bc950-2088-4c2b-bffa-7bed24243d17"/>
    <xsd:import namespace="16a4d2b2-7596-4309-b443-8e8de8cf8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bc950-2088-4c2b-bffa-7bed24243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d2b2-7596-4309-b443-8e8de8cf8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6FFE2-1672-4952-8DF3-09710BF8B6BF}"/>
</file>

<file path=customXml/itemProps2.xml><?xml version="1.0" encoding="utf-8"?>
<ds:datastoreItem xmlns:ds="http://schemas.openxmlformats.org/officeDocument/2006/customXml" ds:itemID="{B06E7B45-1396-43B2-B9C7-DE3141F97444}"/>
</file>

<file path=customXml/itemProps3.xml><?xml version="1.0" encoding="utf-8"?>
<ds:datastoreItem xmlns:ds="http://schemas.openxmlformats.org/officeDocument/2006/customXml" ds:itemID="{60A44931-423E-4E98-8342-1AC8022D8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Aiden V de Vries</cp:lastModifiedBy>
  <cp:revision/>
  <dcterms:created xsi:type="dcterms:W3CDTF">2025-05-01T21:08:28Z</dcterms:created>
  <dcterms:modified xsi:type="dcterms:W3CDTF">2026-01-21T20:25:46Z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0x0101000B72FAFD6341AC4F87E3F3345515CDFA</vt:lpwstr>
  </property>
</Properties>
</file>